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<sst xmlns="http://schemas.openxmlformats.org/spreadsheetml/2006/main" count="1611" uniqueCount="1599">
  <si>
    <t>Hatalová Margita, rod.Smiešková</t>
  </si>
  <si>
    <t>Jančeková Antónia, rod.Kurilová</t>
  </si>
  <si>
    <t>Janiga Vendelín, Šubeník zomrel</t>
  </si>
  <si>
    <t>Jánoš Anton, Ing., nar.1.9.1951</t>
  </si>
  <si>
    <t>Jánošová Margita, rod.Gejdošová</t>
  </si>
  <si>
    <t>Klukošová Terézia, rod.Sidorová</t>
  </si>
  <si>
    <t>Kuniaková Ružena, nar.15.9.1946</t>
  </si>
  <si>
    <t>Lajčiaková Emília, rod.Janigová</t>
  </si>
  <si>
    <t>Lajčiaková Helena, rod.Hlinková</t>
  </si>
  <si>
    <t>Lajčiaková Irena, rod.Cibulková</t>
  </si>
  <si>
    <t>Lajčiaková Mária, rod.Debnárová</t>
  </si>
  <si>
    <t>Oškera Vladimír, nar.12.12.1961</t>
  </si>
  <si>
    <t>Olejníková Adela, rod.Bačkorová</t>
  </si>
  <si>
    <t>Pečner Dušan, zomrela 23.4.2003</t>
  </si>
  <si>
    <t>Sliačanová Emília, rod.Janigová</t>
  </si>
  <si>
    <t>Smieška Jozef, zomrel 29.4.2000</t>
  </si>
  <si>
    <t>Smiešková Antónia, rod.Koreňová</t>
  </si>
  <si>
    <t>Smiešková Zuzana, rod.Drapáčová</t>
  </si>
  <si>
    <t>Todeková Krajčiová Cecília, mal</t>
  </si>
  <si>
    <t>Urbanová Antónia, rod.Jančeková</t>
  </si>
  <si>
    <t>Šindleryová Anna, rod.Kuniaková</t>
  </si>
  <si>
    <t>Černovská Mária, rod.Kaliariková</t>
  </si>
  <si>
    <t>034 01 Ružomberok, Hriadky 636/6</t>
  </si>
  <si>
    <t>034 01 Ružomberok, Jánošíkova 13</t>
  </si>
  <si>
    <t>034 01 Ružomberok, Malé Tatry 18</t>
  </si>
  <si>
    <t>034 01 Ružomberok, Nám.Slobody 1</t>
  </si>
  <si>
    <t>034 01 Ružomberok, Potočná 91/67</t>
  </si>
  <si>
    <t>034 01 Ružomberok, Priehradka 48</t>
  </si>
  <si>
    <t>034 01 Ružomberok, Smreková 1/51</t>
  </si>
  <si>
    <t>034 05 Ružomberok, Rybárpolská 8</t>
  </si>
  <si>
    <t>034 06 Černová, Čutkovská 157/66</t>
  </si>
  <si>
    <t>034 06 Černová, A.Hlinku 339/114</t>
  </si>
  <si>
    <t>034 06 Černová, A.Hlinku 357/150</t>
  </si>
  <si>
    <t>034 06 Černová, A.Hlinku 360/156</t>
  </si>
  <si>
    <t>034 06 Černová, Pri Váhu 8023/45</t>
  </si>
  <si>
    <t>036 01 Martin, Jána Fraňa 4027/7</t>
  </si>
  <si>
    <t>Bocková Katarína, rod.Kudličková</t>
  </si>
  <si>
    <t>Brtošová Margita, rod.Sliačanová</t>
  </si>
  <si>
    <t>Dušičková Terézia, rod.Hazuchová</t>
  </si>
  <si>
    <t>Halušková Ľudmila, rod.Bačkorová</t>
  </si>
  <si>
    <t>Hrnčiarová Katarína, rod.Fullová</t>
  </si>
  <si>
    <t>Janiga Jozef, Šubeník ml. zomrel</t>
  </si>
  <si>
    <t>Janiga Jozef, Šubeník st. zomrel</t>
  </si>
  <si>
    <t>Janigová Šubeníková Aurélia, mal</t>
  </si>
  <si>
    <t>Jeleníková Helena, rod.Smiešková</t>
  </si>
  <si>
    <t>Jeleníková Ružena, Pankovie, mal</t>
  </si>
  <si>
    <t>Kaliariková Oľga, rod.Kudličková</t>
  </si>
  <si>
    <t>Kučerová Katarína, rod.Halušková</t>
  </si>
  <si>
    <t>Lajčiaková Kaliarová Emília, mal</t>
  </si>
  <si>
    <t>Pažítková Antonia, rod.Brokutová</t>
  </si>
  <si>
    <t>Pažítková Antónia, rod.Brokutová</t>
  </si>
  <si>
    <t>Pečnerová Lukrécia, rod.Šnauková</t>
  </si>
  <si>
    <t>Smieška Anton, zomrela 14.1.1999</t>
  </si>
  <si>
    <t>Smieška Vladimír, nar.29.11.1961</t>
  </si>
  <si>
    <t>Šubeník Arnold, zomrel 29.3.2001</t>
  </si>
  <si>
    <t>Šubeník Viktor, zomrel 18.9.1978</t>
  </si>
  <si>
    <t>Šubeník Štefan, zomrel 29.9.1994</t>
  </si>
  <si>
    <t>Šubeníková Emília, nar.26.4.1929</t>
  </si>
  <si>
    <t>Šubeníková Terézia, rod.Sidorová</t>
  </si>
  <si>
    <t>Šulíková Katarína, rod.Halušková</t>
  </si>
  <si>
    <t>034 01 Ružomberok, A.Bernoláka 48</t>
  </si>
  <si>
    <t>034 01 Ružomberok, Klačno 2000/27</t>
  </si>
  <si>
    <t>034 01 Ružomberok, Klačno 41/2211</t>
  </si>
  <si>
    <t>034 01 Ružomberok, Nad Skalkou 32</t>
  </si>
  <si>
    <t>034 01 Ružomberok, Nad Skalkou 35</t>
  </si>
  <si>
    <t>034 01 Ružomberok, Zarevúca 19/18</t>
  </si>
  <si>
    <t>034 03 Ružomberok, Pri Váhu 99/76</t>
  </si>
  <si>
    <t>034 06 Černová, Čutkovská 8140/32</t>
  </si>
  <si>
    <t>034 06 Černová, A. Hlinku 361/158</t>
  </si>
  <si>
    <t>034 06 Černová, A. Hlinku 8263/69</t>
  </si>
  <si>
    <t>034 06 Černová, B.Bjornsona 529/7</t>
  </si>
  <si>
    <t>034 06 Černová, Za Jarčekom 5/451</t>
  </si>
  <si>
    <t>080 01 Prešov, Vajanského 5707/67</t>
  </si>
  <si>
    <t>790 53 Stará Černová, Čremošná 17</t>
  </si>
  <si>
    <t>821 08 Bratislava 2, Prešovská 32</t>
  </si>
  <si>
    <t>841 05 Bratislava 4, Meličkovej 2</t>
  </si>
  <si>
    <t>911 01 Trenčín, Beckovská 2319/21</t>
  </si>
  <si>
    <t>Hančíková Zuzana, rod.Jazorníková</t>
  </si>
  <si>
    <t>Janiga Štefan, Šubeník st. zomrel</t>
  </si>
  <si>
    <t>Kaliariková Margita, rod.Šulíková</t>
  </si>
  <si>
    <t>Kudličková Johana, rod.Lajčiaková</t>
  </si>
  <si>
    <t>Kudličková Sabina, rod.Sliačanová</t>
  </si>
  <si>
    <t>Moravčíková Jolana, rod.Smiešková</t>
  </si>
  <si>
    <t>Sliačanová Adamcová Anna, zomrela</t>
  </si>
  <si>
    <t>Smieška Vendelín, Jedlička zomrel</t>
  </si>
  <si>
    <t>Šimanský Ján, Ing., nar.25.4.1944</t>
  </si>
  <si>
    <t>Šubeník Bernard, zomrel 14.2.1987</t>
  </si>
  <si>
    <t>034 01 Ružomberok, Kalvárska 909/3</t>
  </si>
  <si>
    <t>034 01 Ružomberok, M.R.Štefánika 2</t>
  </si>
  <si>
    <t>034 01 Ružomberok, Zarevúca 257/21</t>
  </si>
  <si>
    <t>034 01 Ružomberok, Športová 1548/3</t>
  </si>
  <si>
    <t>034 01 Ružomberok, Športová 1550/7</t>
  </si>
  <si>
    <t>034 06 Ružomberok, Slnečná 8416/11</t>
  </si>
  <si>
    <t>034 06 Ružomberok, Slnečná 8687/23</t>
  </si>
  <si>
    <t>902 01 Pezinok, kpt.Jaroša 2369/16</t>
  </si>
  <si>
    <t>Bystričan Vendelín, Kubačka zomrel</t>
  </si>
  <si>
    <t>Dušička Vladimír, ml, nar.8.2.1934</t>
  </si>
  <si>
    <t>Hlačina Pavel, Ing., nar.20.8.1952</t>
  </si>
  <si>
    <t>Jeleníková Anna, Rusňák z Černovej</t>
  </si>
  <si>
    <t>Klukošová Kristína, rod.Chovancová</t>
  </si>
  <si>
    <t>Komová Agneša, rod.Peťová, zomrela</t>
  </si>
  <si>
    <t>Laučeková Bernardína, rod.Hatalová</t>
  </si>
  <si>
    <t>Likavčanová Antónia, rod.Kaliarová</t>
  </si>
  <si>
    <t>Liptovský Mikuláš, Priebežná 484/1</t>
  </si>
  <si>
    <t>Liptovský Mikuláš, Sládkovičova 29</t>
  </si>
  <si>
    <t>Sliačanová Adamcová Mária, zomrela</t>
  </si>
  <si>
    <t>034 01 Černová, B.Björnsona 8531/11</t>
  </si>
  <si>
    <t>034 01 Ružomberok, Čutkovská 113/17</t>
  </si>
  <si>
    <t>034 01 Ružomberok, D.Makovického 43</t>
  </si>
  <si>
    <t>034 01 Ružomberok, E.Bohúňa 2095/40</t>
  </si>
  <si>
    <t>034 01 Ružomberok, Liptovská 2112/3</t>
  </si>
  <si>
    <t>034 01 Ružomberok, Liptovská 2127/8</t>
  </si>
  <si>
    <t>034 01 Ružomberok, Na Hôrky 8373/15</t>
  </si>
  <si>
    <t>034 01 Ružomberok, Nám. A. Hlinku 1</t>
  </si>
  <si>
    <t>034 01 Ružomberok, Obvodová cesta 3</t>
  </si>
  <si>
    <t>034 01 Ružomberok, Plavisko 2212/20</t>
  </si>
  <si>
    <t>034 01 Ružomberok, Za dráhou 479/24</t>
  </si>
  <si>
    <t>034 01 Ružomberok, Zarevúca 4935/23</t>
  </si>
  <si>
    <t>034 01 Ružomberok, Športová 1552/11</t>
  </si>
  <si>
    <t>034 01 Ružomberok, Žilinská 1642/18</t>
  </si>
  <si>
    <t>034 01 Ružomberok, Žilinská cesta 5</t>
  </si>
  <si>
    <t>811 01 Bratislava 1, Hlaváčikova 41</t>
  </si>
  <si>
    <t>851 02 Bratislava, Bradáčova 1721/5</t>
  </si>
  <si>
    <t>Dušičková Hlásna Adela, rod.Lejková</t>
  </si>
  <si>
    <t>Fullová Kučmová Mária, rod.Koreňová</t>
  </si>
  <si>
    <t>Jánošová Kašajová Katarína, zomrela</t>
  </si>
  <si>
    <t>Koreňová Padíková Katarína, zomrela</t>
  </si>
  <si>
    <t>Papčová Emília, rod.Fagová, zomrela</t>
  </si>
  <si>
    <t>Urbanová Černeková Anna, rod.Fulová</t>
  </si>
  <si>
    <t>Vyškov na Morave, Ruprechtov 66, ČR</t>
  </si>
  <si>
    <t>Šimanský Eugen, Ing., nar.27.2.1942</t>
  </si>
  <si>
    <t>Šulíková Mária, rod.Hubová, zomrela</t>
  </si>
  <si>
    <t>Černová, Černovských Martýrov 433/27</t>
  </si>
  <si>
    <t>031 01 Liptovský Mikuláš, Bodice 137</t>
  </si>
  <si>
    <t>034 01 Ružomberok, Čutkovská 8121/33</t>
  </si>
  <si>
    <t>034 01 Ružomberok, Hrabovská cesta 3</t>
  </si>
  <si>
    <t>034 01 Ružomberok, I. Houdeka 41A/10</t>
  </si>
  <si>
    <t>034 01 Ružomberok, K.F.Palmu 1751/24</t>
  </si>
  <si>
    <t>034 01 Ružomberok, Liptovská 2114/19</t>
  </si>
  <si>
    <t>034 01 Ružomberok, V. Šrobára 1566/3</t>
  </si>
  <si>
    <t>034 01 Ružomberok, Za jaročkom 5/541</t>
  </si>
  <si>
    <t>034 01 Ružomberok, Šoltésovej 320/27</t>
  </si>
  <si>
    <t>034 06 Ružomberok - Černová, Nová 14</t>
  </si>
  <si>
    <t>034 06 Ružomberok, Čutkovská 8157/66</t>
  </si>
  <si>
    <t>Dušička Ondrej, manž.Adela Halušková</t>
  </si>
  <si>
    <t>Dvorská Anna, rod.Smiešková, zomrela</t>
  </si>
  <si>
    <t>Jašková Mária, rod.Buganová, zomrela</t>
  </si>
  <si>
    <t>Jašková Mária, rod.Hudecová, zomrela</t>
  </si>
  <si>
    <t>Jusková Adela, rod.Brtošová, zomrela</t>
  </si>
  <si>
    <t>Jánošová Kašajová Albína, rod.Kosová</t>
  </si>
  <si>
    <t>Jánošová Mária, PhDr., nar.15.2.1953</t>
  </si>
  <si>
    <t>Lejková Anna, rod.Hlačinová, zomrela</t>
  </si>
  <si>
    <t>Ružomberok - Černová, Pri Váhu 18/35</t>
  </si>
  <si>
    <t>Šulík Emil, rod.Šulík, nar.30.9.1958</t>
  </si>
  <si>
    <t>Šulík Jozef, manž.Alojzia r.Šnauková</t>
  </si>
  <si>
    <t>031 01 Liptovský Mikuláš 1, Školská 5</t>
  </si>
  <si>
    <t>034 01 Ružomberok, Bystrická cesta 78</t>
  </si>
  <si>
    <t>034 01 Ružomberok, I. Houdeka 1923/44</t>
  </si>
  <si>
    <t>034 01 Ružomberok, I. Houdeka 1924/20</t>
  </si>
  <si>
    <t>034 01 Ružomberok, I. Houdeka 1924/32</t>
  </si>
  <si>
    <t>034 01 Ružomberok, I. Houdeka 1941/43</t>
  </si>
  <si>
    <t>034 01 Ružomberok, K. Sidora 2190/104</t>
  </si>
  <si>
    <t>034 01 Ružomberok, R. Dúbravca 1517/7</t>
  </si>
  <si>
    <t>034 01 Ružomberok, Vajanského 1592/10</t>
  </si>
  <si>
    <t>687 42 Osvětimany, Osvětimany 248, ČR</t>
  </si>
  <si>
    <t>Baláž Matej, rod.Baláž, nar.4.10.1991</t>
  </si>
  <si>
    <t>Brnová Emília, rod.Dušičková, zomrela</t>
  </si>
  <si>
    <t>Burošová Emília, rod.Bocková, zomrela</t>
  </si>
  <si>
    <t>Dušičková Anna, rod.Brtošová, zomrela</t>
  </si>
  <si>
    <t>Fagová Rozália, rod.Jančiová, zomrela</t>
  </si>
  <si>
    <t>Gajdošová Anna, rod.Badinová, zomrela</t>
  </si>
  <si>
    <t>Gejdošová Mária, rod.Lejková, zomrela</t>
  </si>
  <si>
    <t>Hatalová Agneša, rod.Helková, zomrela</t>
  </si>
  <si>
    <t>Hazuchová Žofia, rod.Lacková, zomrela</t>
  </si>
  <si>
    <t>Hlavčová Rozália, rod.Kosová, zomrela</t>
  </si>
  <si>
    <t>Kudlová Agneša, rod.Hlinková, zomrela</t>
  </si>
  <si>
    <t>Kuniaková Agneša, rod.Kosová, zomrela</t>
  </si>
  <si>
    <t>Kvorová Agneša, rod.Urbanová, zomrela</t>
  </si>
  <si>
    <t>Sidorová Irena, rod.Jánošová, zomrela</t>
  </si>
  <si>
    <t>Smieška Jozef, manž.Helena r.Šulíková</t>
  </si>
  <si>
    <t>Smiešková Anna, rod.Milanová, zomrela</t>
  </si>
  <si>
    <t>Urban Matúš, Babala, zomrel 29.5.1979</t>
  </si>
  <si>
    <t>Šulíková Mária, rod.Zuzicová, zomrela</t>
  </si>
  <si>
    <t>034 01 Ružomberok, Karola Salvu 2004/4</t>
  </si>
  <si>
    <t>034 01 Ružomberok, Ž. Silbigera 6002/6</t>
  </si>
  <si>
    <t>034 06 Černová, Černovských Martýrov 1</t>
  </si>
  <si>
    <t>034 06 Ružomberok, B. Björnsona 8067/3</t>
  </si>
  <si>
    <t>036 01 Martin, Štúrovo námestie 111/24</t>
  </si>
  <si>
    <t>974 01 Banská Bystrica 1, Radvaňská 24</t>
  </si>
  <si>
    <t>Bačkor Peter, rod.Bačkor, nar.5.4.1980</t>
  </si>
  <si>
    <t>Bačkor Peter, rod.Bačkor, nar.7.5.1928</t>
  </si>
  <si>
    <t>Bačkorová Albína, rod.Frolová, zomrela</t>
  </si>
  <si>
    <t>Balková Mária, rod.Lajčiaková, zomrela</t>
  </si>
  <si>
    <t>Darilová Mária, rod.Gejdošová, zomrela</t>
  </si>
  <si>
    <t>Fullová Žofia, rod.Hlavčová, Mandíková</t>
  </si>
  <si>
    <t>Gejdošová Anna, rod.Kurillová, zomrela</t>
  </si>
  <si>
    <t>Hlačinová Rozália, rod.Fagová, zomrela</t>
  </si>
  <si>
    <t>Jašková Karolína, rod.Kotová, Buganová</t>
  </si>
  <si>
    <t>Janigová Mária, rod.Jančinová, zomrela</t>
  </si>
  <si>
    <t>Kereško Peter, manž.Emília r.Bysterská</t>
  </si>
  <si>
    <t>Lajčiaková Mária, rod.Fullová, zomrela</t>
  </si>
  <si>
    <t>Mandíková Hlavčová Mária, rod.Jančiová</t>
  </si>
  <si>
    <t>Milanová Mária, rod.Lajčiaková, zomrel</t>
  </si>
  <si>
    <t>Sliačanová Anna, rod.Hatalová, zomrela</t>
  </si>
  <si>
    <t>Urban Štefan, Holota, zomrel 10.4.1955</t>
  </si>
  <si>
    <t>Záhorcová Cecília, rod.Peťová, zomrela</t>
  </si>
  <si>
    <t>Šulík Bernard, rod.Šulík, nar.8.2.1925</t>
  </si>
  <si>
    <t>Šulíková Mária, rod.Bačkorová, zomrela</t>
  </si>
  <si>
    <t>Šulíková Mária, rod.Sabuchová, zomrela</t>
  </si>
  <si>
    <t>Čepcová Elena, rod.Kútna, nar.11.1.1955</t>
  </si>
  <si>
    <t>052 01 Spišská Nová Ves, Šoltésova 12/7</t>
  </si>
  <si>
    <t>080 01 Prešov, M. Trenčianskeho 4483/18</t>
  </si>
  <si>
    <t>739 61 Třinec,Lyžbice, Jablunkovská 417</t>
  </si>
  <si>
    <t>Brnová Irena, rod.Bačkorová, r.Zolenová</t>
  </si>
  <si>
    <t>Debnárová Helena, rod.Šulíková, zomrela</t>
  </si>
  <si>
    <t>Frolová Klinčeková Amália, rod.Šulíková</t>
  </si>
  <si>
    <t>Frolová Terézia, rod.Palčíková, zomrela</t>
  </si>
  <si>
    <t>Hatala Štefan, rod.Hatala, nar.3.1.1942</t>
  </si>
  <si>
    <t>Hiravý Lukáš, rod.Hiravý, nar.29.3.1980</t>
  </si>
  <si>
    <t>Hlinková Emília, rod.Smiešková, zomrela</t>
  </si>
  <si>
    <t>Hubová Katarína, rod.Smiešková, zomrela</t>
  </si>
  <si>
    <t>Jusková Rozália, rod.Smiešková, zomrela</t>
  </si>
  <si>
    <t>Jánošová Viktória, PhDr., nar.24.6.1950</t>
  </si>
  <si>
    <t>Kaliariková Agneša, rod.Brnová, zomrela</t>
  </si>
  <si>
    <t>Kaliarová Benčová Katarína, rod.Demková</t>
  </si>
  <si>
    <t>Klukošová Katarína, rod.Fagová, zomrela</t>
  </si>
  <si>
    <t>Kohutová Zuzana, rod.Smiešková, zomrela</t>
  </si>
  <si>
    <t>Kudličková Anna, rod.Gejdošová, zomrela</t>
  </si>
  <si>
    <t>Pavolová Agneša, rod.Smiešková, zomrela</t>
  </si>
  <si>
    <t>RÍMSKOKATOLÍCKA CIRKEV, Farnosť Černová</t>
  </si>
  <si>
    <t>Smieška Ondrej, manž.Zuzana r.Drapáčová</t>
  </si>
  <si>
    <t>Smiešková Rozália, rod.Lejková, zomrela</t>
  </si>
  <si>
    <t>Urbanová Zuzana, Jandura Rapčo, zomrela</t>
  </si>
  <si>
    <t>Šebová Elena, rod.Macková, nar.1.8.1976</t>
  </si>
  <si>
    <t>Šubeníková Janigová Anna, rod.Kenderová</t>
  </si>
  <si>
    <t>Šulíková Alojzia, rod.Šnauková, zomrela</t>
  </si>
  <si>
    <t>Šulíková Amália, rod.Kuniaková, zomrela</t>
  </si>
  <si>
    <t>034 01 Liptovská Štiavnica, Stará 181/61</t>
  </si>
  <si>
    <t>034 01 Ružomberok, Hviezdoslavova 1847/1</t>
  </si>
  <si>
    <t>034 01 Ružomberok, Jozefa Hanulu 1712/13</t>
  </si>
  <si>
    <t>034 01 Ružomberok, Jána Sladkého 1209/33</t>
  </si>
  <si>
    <t>034 01 Ružomberok, K.A.Medveckého 1507/5</t>
  </si>
  <si>
    <t>034 06 Ružomberok - Černová, Nová 189/11</t>
  </si>
  <si>
    <t>034 06 Ružomberok - Černová, Nová 8187/3</t>
  </si>
  <si>
    <t>034 06 Ružomberok - Černová, Nová 8200/4</t>
  </si>
  <si>
    <t>034 06 Ružomberok - Černová, Nová 8201/6</t>
  </si>
  <si>
    <t>034 06 Ružomberok - Černová, Pri Váhu 76</t>
  </si>
  <si>
    <t>034 06 Ružomberok - Černová, Strmá 391/1</t>
  </si>
  <si>
    <t>Bysterská Terézia, rod.Koreňová, zomrela</t>
  </si>
  <si>
    <t>Darila Štefan, rod.Darila, nar.31.3.1928</t>
  </si>
  <si>
    <t>Dušičková Antónia, rod.Šulíková, zomrela</t>
  </si>
  <si>
    <t>Komová Anna, rod.Laučeková, nar.6.2.1963</t>
  </si>
  <si>
    <t>Komová Vilma, rod.Adamcová, r.Sliačanová</t>
  </si>
  <si>
    <t>Lajčiaková Mária, rod.Stolárová, zomrela</t>
  </si>
  <si>
    <t>Lauček Bernard, rod.Lauček, nar.4.8.1951</t>
  </si>
  <si>
    <t>Milanová Katarína, rod.Jančiová, zomrela</t>
  </si>
  <si>
    <t>Prekovičová Adela, rod.Hatalová, Komenda</t>
  </si>
  <si>
    <t>Serafínová Mária, rod.Smiešková, zomrela</t>
  </si>
  <si>
    <t>031 01 Liptovský Mikuláš 1, Palučanská 10</t>
  </si>
  <si>
    <t>034 01 Ružomberok - Černová, Nová 8198/41</t>
  </si>
  <si>
    <t>034 01 Ružomberok, Černovských martýrov 3</t>
  </si>
  <si>
    <t>034 01 Ružomberok, Bystrická cesta 197/38</t>
  </si>
  <si>
    <t>034 01 Ružomberok, Bystrická cesta 203/80</t>
  </si>
  <si>
    <t>034 01 Ružomberok, Maroša Madačova 1468/8</t>
  </si>
  <si>
    <t>034 01 Ružomberok, Žilinská cesta 1641/14</t>
  </si>
  <si>
    <t>034 01 Ružomberok, Žilinská cesta 1641/16</t>
  </si>
  <si>
    <t>034 06 Ružomberok - Černová, Čutkovská 16</t>
  </si>
  <si>
    <t>034 06 Ružomberok - Černová, Čutkovská 20</t>
  </si>
  <si>
    <t>034 06 Ružomberok - Černová, A.Hlinku 154</t>
  </si>
  <si>
    <t>034 06 Ružomberok - Černová, Nová 8198/41</t>
  </si>
  <si>
    <t>034 06 Ružomberok - Černová, Nová 8208/28</t>
  </si>
  <si>
    <t>034 06 Ružomberok - Černová, Nová 8210/32</t>
  </si>
  <si>
    <t>034 06 Ružomberok - Černová, Nová 8550/55</t>
  </si>
  <si>
    <t>034 06 Ružomberok, Černová pri Váhu 42/85</t>
  </si>
  <si>
    <t>Dušičková Katarína, rod.Milanová, zomrela</t>
  </si>
  <si>
    <t>Haluška Peter, rod.Haluška, nar.27.1.1966</t>
  </si>
  <si>
    <t>Halušková Mária, rod.Jánošová, r.Kašajová</t>
  </si>
  <si>
    <t>Hatalová Katarína, rod.Klukošová, zomrela</t>
  </si>
  <si>
    <t>Hatalová Katarína, rod.Švindrová, zomrela</t>
  </si>
  <si>
    <t>Hatalová Rozália, rod.Sliačanová, zomrela</t>
  </si>
  <si>
    <t>Hlačinová Mária, rod.Panštiarová, zomrela</t>
  </si>
  <si>
    <t>Juska Matej, manž.Anna r.Todeková, zomrel</t>
  </si>
  <si>
    <t>Plávka Ľubomír, rod.Plávka, nar.18.8.1948</t>
  </si>
  <si>
    <t>Remeňová Eva, rod.Majková, nar.23.12.1942</t>
  </si>
  <si>
    <t>Smieška Marián, rod.Smieška, nar.1.1.1963</t>
  </si>
  <si>
    <t>Urban Jozef, Škoda ml., zomrel 24.12.1966</t>
  </si>
  <si>
    <t>Števková Oľga, rod.Todeková, nar.7.7.1945</t>
  </si>
  <si>
    <t>Čupajová Oľga, rod.Luptáková, nar.5.2.1965</t>
  </si>
  <si>
    <t>034 01 Ružomberok, Bystrická cesta 1921/60</t>
  </si>
  <si>
    <t>034 01 Ružomberok, Hrabovská cesta 1666/17</t>
  </si>
  <si>
    <t>034 01 Ružomberok, Štefana Moyzesa 1571/47</t>
  </si>
  <si>
    <t>034 06 Ružomberok - Černová, A. Hlinku 120</t>
  </si>
  <si>
    <t>034 06 Ružomberok - Černová, Milkov 8228/5</t>
  </si>
  <si>
    <t>034 06 Ružomberok - Černová, Slnečná 422/6</t>
  </si>
  <si>
    <t>034 84 Liptovské Sliače, Stredný Sliač 926</t>
  </si>
  <si>
    <t>955 01 Topoľčany, Sovietskych tankistov 39</t>
  </si>
  <si>
    <t>Bačkorová Mária, rod.Polievková, DEBNÁROVÁ</t>
  </si>
  <si>
    <t>Bláhová Oľga, rod.Debnárová, nar.24.7.1938</t>
  </si>
  <si>
    <t>Darilová Emília, rod.Lajčiaková, Rošteková</t>
  </si>
  <si>
    <t>Fousková Nina, rod.Kubošková, nar.8.4.1959</t>
  </si>
  <si>
    <t>Hrušková Anna, rod.Šulíková, nar.26.4.1939</t>
  </si>
  <si>
    <t>Janigová Klukošová Apolonia, mal., zomrela</t>
  </si>
  <si>
    <t>Jeleníková Pavlína, rod.Dušičková, zomrela</t>
  </si>
  <si>
    <t>Kľačanová Eva, rod.Urbanová, nar.20.3.1950</t>
  </si>
  <si>
    <t>Klukošová Kristína, rod.Dušičková, zomrela</t>
  </si>
  <si>
    <t>Koreňová Alžbeta, rod.Gregorová, Pagyiková</t>
  </si>
  <si>
    <t>Kudličková Kristína, rod.Hatalová, zomrela</t>
  </si>
  <si>
    <t>Kútna Monika, rod.Šubeníková, nar.5.4.1933</t>
  </si>
  <si>
    <t>Líšková Janka, rod.Hlinková, nar.23.6.1954</t>
  </si>
  <si>
    <t>Macková Anna, rod.Jančeková, nar.10.5.1927</t>
  </si>
  <si>
    <t>Mojšová Mária, rod.Smiešková, nar.7.5.1959</t>
  </si>
  <si>
    <t>Rusňáková Katarína, rod.Smiešková, zomrela</t>
  </si>
  <si>
    <t>Slimáková Terézia, rod.Lajčiaková, zomrela</t>
  </si>
  <si>
    <t>Smiešková Katarína, rod.Kuniaková, zomrela</t>
  </si>
  <si>
    <t>Šedivá Anna, rod.Hajdociová, nar.23.4.1945</t>
  </si>
  <si>
    <t>Šnauková Marta, rod.Šnauková, nar.9.1.1942</t>
  </si>
  <si>
    <t>Šubeníková Katarína, rod.Hatalová, zomrela</t>
  </si>
  <si>
    <t>Švábová Apolónia, rod.Urbanová, r.Holotová</t>
  </si>
  <si>
    <t>031 01 Liptovský Mikuláš, Borbisova 1958/40</t>
  </si>
  <si>
    <t>034 06 Ružomberok - Černová, Pri Váhu 42/85</t>
  </si>
  <si>
    <t>034 06 Ružomberok - Černová, Slnečná 8415/9</t>
  </si>
  <si>
    <t>687 42 Uherské Hradište, Osvětimany 248, ČR</t>
  </si>
  <si>
    <t>Bačkorová Lýdia, rod.Kvôrová, nar.16.1.1931</t>
  </si>
  <si>
    <t>Balážová Iveta, rod.Droppová, nar.16.5.1970</t>
  </si>
  <si>
    <t>Bednářiková Anna, rod.Kútna, nar.28.11.1963</t>
  </si>
  <si>
    <t>Chovancová Kristína, rod.Gejdošová, zomrela</t>
  </si>
  <si>
    <t>Demková Berta, rod.Laučeková, nar.28.8.1931</t>
  </si>
  <si>
    <t>Demková Cecília, rod.Janigová, r.Šubeníková</t>
  </si>
  <si>
    <t>Frličková Marta, rod.Papčová, nar.25.3.1949</t>
  </si>
  <si>
    <t>Fullová Mária, rod.Koreňová Pagyik, zomrela</t>
  </si>
  <si>
    <t>Fullová Mária, rod.Koreňová, Pagyik zomrela</t>
  </si>
  <si>
    <t>Gajdošová Viola, rod.Demková, nar.19.4.1937</t>
  </si>
  <si>
    <t>Hatalová Cecília, rod.Janigová, r.Klukošová</t>
  </si>
  <si>
    <t>Hatalová Petronela, rod.Lajčiaková, zomrela</t>
  </si>
  <si>
    <t>Jančiová Ružena, rod.Dobáková, nar.4.2.1963</t>
  </si>
  <si>
    <t>Jeleníková Mária, rod.Kupčová, nar.6.2.1941</t>
  </si>
  <si>
    <t>Jeleníková Terézia, rod.Lajčiaková, zomrela</t>
  </si>
  <si>
    <t>Kováčová Božena, rod.Jusková, nar.23.1.1926</t>
  </si>
  <si>
    <t>Kučková Anna, rod.Smiešková, nar.17.10.1965</t>
  </si>
  <si>
    <t>Kubíková Lýdia, rod.Jančiová, nar.2.10.1950</t>
  </si>
  <si>
    <t>Martišková Eva, rod.Jančiová, nar.19.5.1944</t>
  </si>
  <si>
    <t>Mušutová Emília, rod.Lejková, nar.10.5.1933</t>
  </si>
  <si>
    <t>Pišteková Mária, rod.Jančová, nar.18.6.1939</t>
  </si>
  <si>
    <t>Ružomberok - Biely Potok, Korytnická 379/33</t>
  </si>
  <si>
    <t>Rázgová Mária, rod.Černovská, nar.15.6.1937</t>
  </si>
  <si>
    <t>Černovská Božena, rod.Jánošová, nar.5.1.1938</t>
  </si>
  <si>
    <t>Činčurová Anna, rod.Čabalová, nar.13.12.1956</t>
  </si>
  <si>
    <t>034 01 Ružomberok - Rybárpole, Horská 6092/1</t>
  </si>
  <si>
    <t>034 01 Ružomberok, Nábr.M.R.Štefánika 1683/2</t>
  </si>
  <si>
    <t>034 03 Ružomberok - Černová, Na Hôrky 8367/3</t>
  </si>
  <si>
    <t>034 06 Ružomberok - Černová, Pri Váhu 48/101</t>
  </si>
  <si>
    <t>034 06 Ružomberok - Černová, Pri Váhu 50/105</t>
  </si>
  <si>
    <t>831 06 Bratislava - Rača, Jurkovičova 7477/3</t>
  </si>
  <si>
    <t>Bačkorová Anna, rod.Hlačinová, nar.21.7.1924</t>
  </si>
  <si>
    <t>Bačkorová Marta, rod.Jánošová, nar.27.8.1933</t>
  </si>
  <si>
    <t>Babálová Margita, rod.Žiaková, nar.30.7.1940</t>
  </si>
  <si>
    <t>Burošová Adriana, rod.Hatalová, nar.9.7.1975</t>
  </si>
  <si>
    <t>Danková Emília, rod.Dušičková, nar.18.7.1944</t>
  </si>
  <si>
    <t>Frkáňová Daniela, rod.Demková, nar.16.4.1948</t>
  </si>
  <si>
    <t>Jančiová Jašková Mária, rod.Lejková, zomrela</t>
  </si>
  <si>
    <t>Jančová Janka, rod.Olejníková, nar.25.2.1972</t>
  </si>
  <si>
    <t>Janigová Ľudmila, rod.Jančiová, nar.7.4.1928</t>
  </si>
  <si>
    <t>Kováčová Mária, rod.Kuniaková, nar.12.8.1922</t>
  </si>
  <si>
    <t>Lukáč Róbert, rod.Lukáč, Mgr., nar.22.1.1972</t>
  </si>
  <si>
    <t>Lániková Tűnde, rod.Magiczová, nar.16.8.1966</t>
  </si>
  <si>
    <t>Moravčíková Anna, rod.Jančiová, nar.3.5.1959</t>
  </si>
  <si>
    <t>Slačková Dajana, rod.Hatalová, nar.22.3.1979</t>
  </si>
  <si>
    <t>Tatárová Mária, rod.Lajčiaková, nar.9.4.1940</t>
  </si>
  <si>
    <t>034 01 Ružomberok, - Černová Pri Váhu 8026/51</t>
  </si>
  <si>
    <t>034 06 Ružomberok - Černová, A.Hlinku 8298/32</t>
  </si>
  <si>
    <t>034 06 Ružomberok - Černová, Na Hôrky 8375/19</t>
  </si>
  <si>
    <t>034 06 Ružomberok - Černová, Pri Váhu 8025/49</t>
  </si>
  <si>
    <t>034 06 Ružomberok - Černová, Pri Váhu 8034/67</t>
  </si>
  <si>
    <t>034 06 Ružomberok - Černová, Pri Váhu 8039/77</t>
  </si>
  <si>
    <t>034 06 Ružomberok - Černová, Pri Váhu 8043/87</t>
  </si>
  <si>
    <t>034 06 Ružomberok - Černová, Pri Váhu 8046/93</t>
  </si>
  <si>
    <t>034 06 Ružomberok - Černová, Pri Váhu 8085/40</t>
  </si>
  <si>
    <t>034 06 Ružomberok - Černová, Pri Váhu 8102/82</t>
  </si>
  <si>
    <t>034 06 Ružomberok - Černová, Pri Váhu 8103/84</t>
  </si>
  <si>
    <t>034 06 Ružomberok - Černová, Pri Váhu 8528/79</t>
  </si>
  <si>
    <t>034 06 Ružomberok - Černová, Včelárska 8428/4</t>
  </si>
  <si>
    <t>110 00 Praha 1, Květnového vítězství 1099, ČR</t>
  </si>
  <si>
    <t>Bačkor Eduard, Debnár, manž.Katarína r.Brnová</t>
  </si>
  <si>
    <t>Bačkorová Albína, rod.Jančiová, nar.18.5.1936</t>
  </si>
  <si>
    <t>Bačkorová Soňa, rod.Šubeníková, nar.13.4.1968</t>
  </si>
  <si>
    <t>Bystričanová Katarína, rod.Dušičková, zomrela</t>
  </si>
  <si>
    <t>Dvorská Emília, rod.Peckovičová, nar.9.3.1931</t>
  </si>
  <si>
    <t>Golčáková Janka, rod.Smiešková, nar.3.10.1964</t>
  </si>
  <si>
    <t>Gáborová Jolana, rod.Krajčiová, nar.24.3.1924</t>
  </si>
  <si>
    <t>Kubáňová Jarmila, rod.Húleková, nar.23.3.1955</t>
  </si>
  <si>
    <t>Lajčiak František, rod.Lajčiak, nar.11.9.1958</t>
  </si>
  <si>
    <t>Lejková Petronela, rod.Sliačanová, r.Adamcová</t>
  </si>
  <si>
    <t>Mastišová Mária, rod.Šimanská, nar.18.12.1936</t>
  </si>
  <si>
    <t>Murínová Agneša, rod.Klukošová, nar.20.2.1924</t>
  </si>
  <si>
    <t>Peckovič Štefan, rod.Peckovič, nar.18.12.1952</t>
  </si>
  <si>
    <t>Rázgová Alžbeta, rod.Luptáková, nar.22.3.1961</t>
  </si>
  <si>
    <t>Urbanová Holotová Anna, rod.Kašajová, zomrela</t>
  </si>
  <si>
    <t>Štípalová Viera, rod.Urbanová, nar.22.11.1953</t>
  </si>
  <si>
    <t>Šubeníková Helena, rod.Šubeníková, r.Janigová</t>
  </si>
  <si>
    <t>Šulíková Antónia, rod.Jašková, nar.22.10.1919</t>
  </si>
  <si>
    <t>Ťupeková Antónia, rod.Baranová, nar.23.9.1955</t>
  </si>
  <si>
    <t>034 01 Ružomberok - Černová, Pri Váhu 8053/111</t>
  </si>
  <si>
    <t>034 01 Ružomberok - Hrboltová, Priehrada 48/24</t>
  </si>
  <si>
    <t>034 03 Ružomberok - Biely Potok, Raveň 7126/67</t>
  </si>
  <si>
    <t>034 06 Ružomberok - Černová, Čutkovská 8110/11</t>
  </si>
  <si>
    <t>034 06 Ružomberok - Černová, Čutkovská 8132/16</t>
  </si>
  <si>
    <t>034 06 Ružomberok - Černová, Čutkovská 8133/18</t>
  </si>
  <si>
    <t>034 06 Ružomberok - Černová, Čutkovská 8143/38</t>
  </si>
  <si>
    <t>034 06 Ružomberok - Černová, Čutkovská 8558/68</t>
  </si>
  <si>
    <t>034 06 Ružomberok - Černová, Priehradka 482/23</t>
  </si>
  <si>
    <t>034 06 Ružomberok - Černová, Priehradka 497/20</t>
  </si>
  <si>
    <t>034 06 Ružomberok - Černová, Za jarčekom 448/2</t>
  </si>
  <si>
    <t>034 06 Ružomberok - Černová, Za jaročkom 449/3</t>
  </si>
  <si>
    <t>Bačkorová Margita, rod.Janigová, nar.28.1.1929</t>
  </si>
  <si>
    <t>Bulafčíková Anna, rod.Čomorová, nar.30.10.1948</t>
  </si>
  <si>
    <t>Chriščanovská Ľuba, rod.Hiravá, nar.29.10.1966</t>
  </si>
  <si>
    <t>Cibulková Paulína, rod.Debnárová, Bačkor Raban</t>
  </si>
  <si>
    <t>Demko Viktor, rod.Demko, mladší, nar.18.7.1936</t>
  </si>
  <si>
    <t>Dušičková Emília, rod.Krutáková, nar.24.6.1930</t>
  </si>
  <si>
    <t>Habová Mária, rod.Jánošová, r.Kašajová zomrela</t>
  </si>
  <si>
    <t>Hančík Radovan, rod.Hančík, Bc., nar.10.4.1974</t>
  </si>
  <si>
    <t>Hančíková Antónia, rod.Šulíková, nar.27.3.1950</t>
  </si>
  <si>
    <t>Hrenáková Emília, rod.Gejdošová, nar.11.7.1934</t>
  </si>
  <si>
    <t>Húleková Ľudmila, rod.Hazuchová, nar.11.5.1920</t>
  </si>
  <si>
    <t>Jančiarová Božena, rod.Fullová, nar.24.10.1948</t>
  </si>
  <si>
    <t>Janigová Ľudmila, rod.Hatalová, nar.23.10.1930</t>
  </si>
  <si>
    <t>Jánošová Kašajová Johana, rod.Frolová, zomrela</t>
  </si>
  <si>
    <t>Jánošová Katarína, rod.Jánošová, nar.17.1.1977</t>
  </si>
  <si>
    <t>Krajčovičová Jarmila, rod.Veselá, nar.3.6.1955</t>
  </si>
  <si>
    <t>Mišová Kristína, rod.Jeleníková, nar.8.11.1922</t>
  </si>
  <si>
    <t>Mlynčeková Emília, rod.Dobijová, nar.11.7.1941</t>
  </si>
  <si>
    <t>Močáryová Petronela, rod.Kuniaková, r.Kabačová</t>
  </si>
  <si>
    <t>Mojžiš Marian, rod.Mojžiš, Ing., nar.13.6.1947</t>
  </si>
  <si>
    <t>Moravčíková Mária, rod.Urbanová, nar.31.1.1953</t>
  </si>
  <si>
    <t>Mučková Kvetoslava, rod.Hubová, nar.24.10.1967</t>
  </si>
  <si>
    <t>Nemcová Ľudmila, rod.Jančeková, nar.14.12.1921</t>
  </si>
  <si>
    <t>Pulišová Adela, rod.Janigová, zomrela 2.4.1976</t>
  </si>
  <si>
    <t>Rázgová Agneša, rod.Demková, zomrela 28.7.1976</t>
  </si>
  <si>
    <t>Záhorcová Irena, rod.Peťová, zomrela 5.12.1967</t>
  </si>
  <si>
    <t>034 06 Ružomberok - Černová, Priehradka 8487/33</t>
  </si>
  <si>
    <t>034 06 Ružomberok - Černová, Za Jarčekom 8449/3</t>
  </si>
  <si>
    <t>821 08 Bratislava - Ružinov, Velehradská 930/26</t>
  </si>
  <si>
    <t>Bajčiová Viktória, rod.Debnárová, nar.23.3.1938</t>
  </si>
  <si>
    <t>Demková Mária, rod.Šulíková, r.Kučerová zomrela</t>
  </si>
  <si>
    <t>Garbulinský Břetislav, manž.Ľudmila r.Kuniaková</t>
  </si>
  <si>
    <t>Halušková Mária, rod.Adamovičová, nar.27.4.1953</t>
  </si>
  <si>
    <t>Kenderová Emília, rod.Žerebáková, nar.17.9.1928</t>
  </si>
  <si>
    <t>Kovalčíková Darina, rod.Kandová, nar.26.12.1942</t>
  </si>
  <si>
    <t>Kubošková Ľubica, rod.Kubošková, nar.18.10.1960</t>
  </si>
  <si>
    <t>Kudličková Emília, rod.Hatalová, nar.17.12.1936</t>
  </si>
  <si>
    <t>Likavcová Ľudmila, rod.Makovická, nar.28.9.1936</t>
  </si>
  <si>
    <t>Maslová Katarína, rod.Lajčiaková, nar.30.3.1958</t>
  </si>
  <si>
    <t>Matuška Peter, rod.Matuška, Ing., nar.13.3.1957</t>
  </si>
  <si>
    <t>Oškerová Oľga, rod.Hančíková, zomrela 13.1.1994</t>
  </si>
  <si>
    <t>Peťová Mária, rod.Kaliarová, r.Benčová, zomrela</t>
  </si>
  <si>
    <t>Pillerová Viera, rod.Holubčíková, nar.29.6.1945</t>
  </si>
  <si>
    <t>Tomová Anna, rod.Bačkorová, Ing., nar.14.2.1955</t>
  </si>
  <si>
    <t>Ťapaj Peter, rod.Ťapaj, Ing.CSc., nar.18.2.1953</t>
  </si>
  <si>
    <t>Černovský Ladislav, rod.Černovský, nar.21.6.1934</t>
  </si>
  <si>
    <t>034 06 Ružomberok - Černová, B. Bjornsona 8529/7</t>
  </si>
  <si>
    <t>Benková Andrea, rod.Jánošová, Ing., nar.3.9.1974</t>
  </si>
  <si>
    <t>Chovancová Kristína, rod.Jánošová, nar.14.9.1920</t>
  </si>
  <si>
    <t>Cibulková Ružena, rod.Cvengrošová, nar.12.7.1932</t>
  </si>
  <si>
    <t>Fagová Bernardína, rod.Šubeníková, nar.21.1.1924</t>
  </si>
  <si>
    <t>Haluška Martin, rod.Haluška, Ing., nar.27.3.1979</t>
  </si>
  <si>
    <t>Ilečková Viktória, rod.Makovická, nar.22.11.1951</t>
  </si>
  <si>
    <t>Janči Anton, rod.Janči, Ing. CSc., nar.21.1.1947</t>
  </si>
  <si>
    <t>Kováčiková Albína, rod.Jeleníková, nar.30.9.1927</t>
  </si>
  <si>
    <t>Kubošková Viktória, rod.Šulíková, nar.23.11.1929</t>
  </si>
  <si>
    <t>Mudičková Viktória, rod.Cibulková, nar.21.3.1948</t>
  </si>
  <si>
    <t>Peckovičová Margita, rod.Klukošová, nar.9.3.1926</t>
  </si>
  <si>
    <t>Sidorová Johana, rod.Šulíková, zomrela 4.10.1997</t>
  </si>
  <si>
    <t>Sobolová Agnesa, rod.Šulíková, zomrela 16.2.2000</t>
  </si>
  <si>
    <t>Venglošová Ema, rod.Javorková, zomrela 26.7.2006</t>
  </si>
  <si>
    <t>Štefaničiaková Mária, rod.Ballová, nar.26.4.1948</t>
  </si>
  <si>
    <t>851 01 Bratislava - Petržalka, Švabinského 907/18</t>
  </si>
  <si>
    <t>Bačkor Vladimír, rod.Bačkor, Ing., nar.28.12.1977</t>
  </si>
  <si>
    <t>Brnová Katarína, rod.Hatalová, r.Jančiová zomrela</t>
  </si>
  <si>
    <t>Debnárová Bačkorová Katarína, rod.Brnová, zomrela</t>
  </si>
  <si>
    <t>Janigová Klukošová Terézia, rod.Sidorová, zomrela</t>
  </si>
  <si>
    <t>Kôrová Albína, rod.Bačkorová, r.Debnárová zomrela</t>
  </si>
  <si>
    <t>Lajčiaková Terézia, rod.Zemeníková, nar.12.6.1935</t>
  </si>
  <si>
    <t>Ružomberok - Černová, Černovských Martýrov 8431/3</t>
  </si>
  <si>
    <t>Szobolovszká Mária, rod.Bačkorová, nar.15.10.1939</t>
  </si>
  <si>
    <t>Urbanová Černeková Mária, rod.Polievková, zomrela</t>
  </si>
  <si>
    <t>Urbanová Babálová Emília, rod.Lajčiaková, zomrela</t>
  </si>
  <si>
    <t>Šubeníková Anna, rod.Sliačanová, zomrel 23.3.1965</t>
  </si>
  <si>
    <t>034 06 Ružomberok - Černová, Andreja Hlinku 273/89</t>
  </si>
  <si>
    <t>972 12 Nedožery-Brezany, V. B. Nedožerského 111/51</t>
  </si>
  <si>
    <t>Debnárová Bačkorová Helena, rod.Hlačinová, zomrela</t>
  </si>
  <si>
    <t>Garčeková Emília, rod.Urbanová, r.Holotová zomrela</t>
  </si>
  <si>
    <t>Jarinová Zuzana, rod.Kričková, Mgr., nar.14.8.1968</t>
  </si>
  <si>
    <t>Urbanová Mária, rod.Todeková, r.Krajčiová, zomrela</t>
  </si>
  <si>
    <t>Urbanová Rozália, rod.Dušičková, zomrela 11.7.1968</t>
  </si>
  <si>
    <t>Šemodová Margita, rod.Podhorská, zomrela 31.7.1998</t>
  </si>
  <si>
    <t>034 06 Ružomberok - Černová, Andreja Hlinku 8268/79</t>
  </si>
  <si>
    <t>Beličková Iveta, rod.Jánošová, Ing., nar.24.10.1975</t>
  </si>
  <si>
    <t>Beničiak Vladimír, rod.Beničiak, Ing., nar.8.1.1950</t>
  </si>
  <si>
    <t>Demková Katarína, rod.Kaliarová, r.Benčová, zomrela</t>
  </si>
  <si>
    <t>Demková Mária, rod.Hlačinová, r.Panštiarová zomrela</t>
  </si>
  <si>
    <t>Hlačinová Mária, rod.Brtošová, MUDr., nar.15.5.1952</t>
  </si>
  <si>
    <t>Ignjičová Anna, rod.Bradiaková, Ing., nar.20.4.1951</t>
  </si>
  <si>
    <t>Javorková Rozália, rod.Šulíková, r.Kučerová zomrela</t>
  </si>
  <si>
    <t>Rusňáková Anna, rod.Jedličková, r.Smiešková zomrela</t>
  </si>
  <si>
    <t>Sidorová Agneša, rod.Kaliariková, zomrela 10.6.1987</t>
  </si>
  <si>
    <t>Smiešková Alžbeta, rod.Hlačinová, zomrela 31.5.1989</t>
  </si>
  <si>
    <t>Bérešová Agneša, rod.Kuniaková, Mudr., nar.12.1.1937</t>
  </si>
  <si>
    <t>Dušičková Mária, rod.Smiešková, r.Jedličková zomrela</t>
  </si>
  <si>
    <t>Gejdošová Agneša, rod.Bačkorová, r.Debnárová zomrela</t>
  </si>
  <si>
    <t>Hatalová Mária, rod.Panštiarová, r.Hlačinová zomrela</t>
  </si>
  <si>
    <t>Hubová Katarína, rod.Smiešková, r.Jedličková zomrela</t>
  </si>
  <si>
    <t>Kudličková Anna, rod.Lajčiaková, r.Kaliarová zomrela</t>
  </si>
  <si>
    <t>Lajčiaková Mária, rod.Bačkorová, r.Debnárová zomrela</t>
  </si>
  <si>
    <t>Moravčíková Ľudmila, rod.Debnáriková, nar.16.12.1952</t>
  </si>
  <si>
    <t>Sliačanová Bernardína, rod.Jeleníková, nar.14.1.1952</t>
  </si>
  <si>
    <t>Šnauková Katarína, rod.Sidorová, r.Hlinková, zomrela</t>
  </si>
  <si>
    <t>Debnárová Zuzana, rod.Smiešková, r.Jedličková zomrela</t>
  </si>
  <si>
    <t>Garbulinský Břetislav, rod.Garbulinský, nar.16.1.1954</t>
  </si>
  <si>
    <t>Hatalová Katarína, rod.Debnárová, r.Bačkorová zomrela</t>
  </si>
  <si>
    <t>Pravňanská Paula, rod.Suchánková, Mgr., nar.16.3.1952</t>
  </si>
  <si>
    <t>Sliačanová Anna, rod.Bačkorová, r.Kaliariková zomrela</t>
  </si>
  <si>
    <t>Záhorcová Anna, rod.Peckovičová, Ing., nar.13.11.1949</t>
  </si>
  <si>
    <t>Argalášová Magdaléna, rod.Demková, Ing., nar.12.8.1945</t>
  </si>
  <si>
    <t>Hančíková Kristína, rod.Janigová, r.Šubeníková zomrela</t>
  </si>
  <si>
    <t>Jeleníková Rusnáková Apolonia, rod.Hlavčová, Mandíková</t>
  </si>
  <si>
    <t>Lajčiak Ladislav, rod.Lajčiak, ml, Ing., nar.28.7.1945</t>
  </si>
  <si>
    <t>Lajčiaková Rozália, rod.Bačkorová, r.Debnárová zomrela</t>
  </si>
  <si>
    <t>Pastuchová Katarína, rod.Gejdošová, Mgr., nar.6.5.1965</t>
  </si>
  <si>
    <t>034 01 Ružomberok - Černová, Černovských martýrov 436/6</t>
  </si>
  <si>
    <t>034 06 naposledy bytom Ružomberok-Černová, Čutkovská 56</t>
  </si>
  <si>
    <t>Kaljar Marián, Navá 26, 03401 Ružomberok, nar.23.3.1957</t>
  </si>
  <si>
    <t>034 06 Ružomberok - Černová, Černovských Martýrov 8435/4</t>
  </si>
  <si>
    <t>Debnárová Katarína, rod.Kaliariková, r.Bačkorová zomrela</t>
  </si>
  <si>
    <t>034 01 Ružomberok - Černová, Černovských martýrov 8432/25</t>
  </si>
  <si>
    <t>034 06 Ružomberok - Černová, Černovských Martýrov 8438/10</t>
  </si>
  <si>
    <t>034 06 Ružomberok - Černová, Černovských Martýrov 8671/23</t>
  </si>
  <si>
    <t>Mičúchová Alexandra, rod.Jeleníková, MVDr., nar.18.3.1955</t>
  </si>
  <si>
    <t>Kapitančíková Iveta, rod.Kapitančíková, Ing., nar.17.2.1968</t>
  </si>
  <si>
    <t>Kongregácia školských sestier sv.Františka-Slovenská provinc</t>
  </si>
  <si>
    <t>Hatalová Komendová Emília, rod.Bačkorová, r.Debnárová zomrela</t>
  </si>
  <si>
    <t>Kaliarová Benčová Mária, rod.Kaliariková, r.Bačkorová zomrela</t>
  </si>
  <si>
    <t>Šulík Ľubomír, rod.Šulík, zomr.16.5.1994, Ing., nar.26.5.1955</t>
  </si>
  <si>
    <t>Petrasová Marta, rod.Šulíková, zom. 27.08.1999, nar.23.12.1937</t>
  </si>
  <si>
    <t>Sobolová Agnesa, rod.Šulíková, zomrela 16.2.2000, nar.13.2.1924</t>
  </si>
  <si>
    <t>Adamovičová Mária, rod.Jašková, zomrela 15.01.2008, nar.25.12.1915</t>
  </si>
  <si>
    <t>Jeleníková Ľudmila, rod.Kaliariková, zomrela 24.3.1995, nar.10.4.1922</t>
  </si>
  <si>
    <t>Lacková Rozália, rod.Hlačinová, neb.,zomrela 13.8.1979, nar.30.8.1910</t>
  </si>
  <si>
    <t>podiel</t>
  </si>
  <si>
    <t xml:space="preserve">výmera </t>
  </si>
  <si>
    <t>meno</t>
  </si>
  <si>
    <t>adresa</t>
  </si>
  <si>
    <t>skupina</t>
  </si>
  <si>
    <t>Brna Ján</t>
  </si>
  <si>
    <t>Bocko Ján</t>
  </si>
  <si>
    <t>Demko Ján</t>
  </si>
  <si>
    <t>Kolta 208</t>
  </si>
  <si>
    <t>Lacko Ján</t>
  </si>
  <si>
    <t>druh/zrps</t>
  </si>
  <si>
    <t>Brna Anton</t>
  </si>
  <si>
    <t>Huba Peter</t>
  </si>
  <si>
    <t>Koma Anton</t>
  </si>
  <si>
    <t>Koma Jozef</t>
  </si>
  <si>
    <t>Koma Pavel</t>
  </si>
  <si>
    <t>Kosa Juraj</t>
  </si>
  <si>
    <t>druh osoby</t>
  </si>
  <si>
    <t>Blcha Anton</t>
  </si>
  <si>
    <t>Brna Eduard</t>
  </si>
  <si>
    <t>Brokuta Ján</t>
  </si>
  <si>
    <t>Fagová Anna</t>
  </si>
  <si>
    <t>Frolo Anton</t>
  </si>
  <si>
    <t>Fulla Anton</t>
  </si>
  <si>
    <t>Fulla Peter</t>
  </si>
  <si>
    <t>Huba Ondrej</t>
  </si>
  <si>
    <t>Jozef Urban</t>
  </si>
  <si>
    <t>Lejko Anton</t>
  </si>
  <si>
    <t>Lejko Peter</t>
  </si>
  <si>
    <t>Ballo Andrej</t>
  </si>
  <si>
    <t>Brna Dominik</t>
  </si>
  <si>
    <t>Brna Vojtech</t>
  </si>
  <si>
    <t>Debnár Karol</t>
  </si>
  <si>
    <t>Demko Eduard</t>
  </si>
  <si>
    <t>Fulla Arnold</t>
  </si>
  <si>
    <t>Hubová Mária</t>
  </si>
  <si>
    <t>Janiga Anton</t>
  </si>
  <si>
    <t>Kuniak Peter</t>
  </si>
  <si>
    <t>Lejko Eduard</t>
  </si>
  <si>
    <t>Milan Ondrej</t>
  </si>
  <si>
    <t>Demko Cyprián</t>
  </si>
  <si>
    <t>Demko Vojtech</t>
  </si>
  <si>
    <t>Fischer Jakub</t>
  </si>
  <si>
    <t>Hatalová Anna</t>
  </si>
  <si>
    <t>Hlinka Andrej</t>
  </si>
  <si>
    <t>Hubová Emília</t>
  </si>
  <si>
    <t>Jeleník Jakub</t>
  </si>
  <si>
    <t>Jeleník Jozef</t>
  </si>
  <si>
    <t>Jeleník Peter</t>
  </si>
  <si>
    <t>Kaliar Eduard</t>
  </si>
  <si>
    <t>Kaljar Method</t>
  </si>
  <si>
    <t>Komová Emília</t>
  </si>
  <si>
    <t>Kurilla Jozef</t>
  </si>
  <si>
    <t>Kurilová Anna</t>
  </si>
  <si>
    <t>Kvora Vojtech</t>
  </si>
  <si>
    <t>Lejko Cyprián</t>
  </si>
  <si>
    <t>Lejková Adela</t>
  </si>
  <si>
    <t>Lejková Mária</t>
  </si>
  <si>
    <t>Maga Ladislav</t>
  </si>
  <si>
    <t>Milanová Anna</t>
  </si>
  <si>
    <t>Brna Jozef, ml</t>
  </si>
  <si>
    <t>Brokutová Anna</t>
  </si>
  <si>
    <t>Frolová Emília</t>
  </si>
  <si>
    <t>Frolová Helena</t>
  </si>
  <si>
    <t>Fulla Vladimír</t>
  </si>
  <si>
    <t>Fullová Emília</t>
  </si>
  <si>
    <t>Hatala Henrich</t>
  </si>
  <si>
    <t>Hlinka Metodej</t>
  </si>
  <si>
    <t>Kaliar Koloman</t>
  </si>
  <si>
    <t>Kaliarik Pavol</t>
  </si>
  <si>
    <t>Koma Ferdinand</t>
  </si>
  <si>
    <t>Komová Terézia</t>
  </si>
  <si>
    <t>Kuniak Ján, st</t>
  </si>
  <si>
    <t>Kurilová Vilma</t>
  </si>
  <si>
    <t>Kvora Adalbert</t>
  </si>
  <si>
    <t>Lejko Ladislav</t>
  </si>
  <si>
    <t>Lejková Emília</t>
  </si>
  <si>
    <t>Ondrejka Jozef</t>
  </si>
  <si>
    <t>Veverica Juraj</t>
  </si>
  <si>
    <t>Záhorec Vendel</t>
  </si>
  <si>
    <t>Ballo Bernardín</t>
  </si>
  <si>
    <t>Brna Ondrej, ml</t>
  </si>
  <si>
    <t>Brna Ondrej, st</t>
  </si>
  <si>
    <t>Demko Juraj, ml</t>
  </si>
  <si>
    <t>Frolo Jozef, st</t>
  </si>
  <si>
    <t>Hlinková Helena</t>
  </si>
  <si>
    <t>Huba Ondrej, ml</t>
  </si>
  <si>
    <t>Janigová Albína</t>
  </si>
  <si>
    <t>Janigová Helena</t>
  </si>
  <si>
    <t>Javorka Florián</t>
  </si>
  <si>
    <t>Jeleník Florián</t>
  </si>
  <si>
    <t>Jeleník Ján, ml</t>
  </si>
  <si>
    <t>Jeleník Leonard</t>
  </si>
  <si>
    <t>Kaliar Vendelín</t>
  </si>
  <si>
    <t>Kaliarová Mária</t>
  </si>
  <si>
    <t>Lejko Ferdinand</t>
  </si>
  <si>
    <t>Milanová Johana</t>
  </si>
  <si>
    <t>Urban Ondrej, 1</t>
  </si>
  <si>
    <t>Veverica Eduard</t>
  </si>
  <si>
    <t>Veverica Ondrej</t>
  </si>
  <si>
    <t>925 26 Boldog 42</t>
  </si>
  <si>
    <t>Ballo Ondrej, ml</t>
  </si>
  <si>
    <t>Fischerová Mária</t>
  </si>
  <si>
    <t>Hatalová Antónia</t>
  </si>
  <si>
    <t>Hatalová Cecília</t>
  </si>
  <si>
    <t>Hatalová Justína</t>
  </si>
  <si>
    <t>Hatalová Rozália</t>
  </si>
  <si>
    <t>Hlinková Margita</t>
  </si>
  <si>
    <t>Janiga Jozef, st</t>
  </si>
  <si>
    <t>Kaliarik Ján, st</t>
  </si>
  <si>
    <t>Kaljarik Vojtech</t>
  </si>
  <si>
    <t>Lejko Ondrej, st</t>
  </si>
  <si>
    <t>Vevericová Mária</t>
  </si>
  <si>
    <t>Fulla Leopold, st</t>
  </si>
  <si>
    <t>Hlinka Ondrej, st</t>
  </si>
  <si>
    <t>Javorková Mariska</t>
  </si>
  <si>
    <t>Jeleník Jozef, ml</t>
  </si>
  <si>
    <t>Jeleníková Emília</t>
  </si>
  <si>
    <t>Kaliarik Ladislav</t>
  </si>
  <si>
    <t>Lejko Ján, zomrel</t>
  </si>
  <si>
    <t>Milanová Anna, ml</t>
  </si>
  <si>
    <t>Todek Ján, zomrel</t>
  </si>
  <si>
    <t>Urban Ján, Holota</t>
  </si>
  <si>
    <t>Záhorecová Emília</t>
  </si>
  <si>
    <t>034 71 Ludrová 293</t>
  </si>
  <si>
    <t>034 95 Likavka 801</t>
  </si>
  <si>
    <t>034 96 Komjatná 83</t>
  </si>
  <si>
    <t>Hatalová Adalberta</t>
  </si>
  <si>
    <t>Janiga Ján, zomrel</t>
  </si>
  <si>
    <t>Janiga Vojtech, st</t>
  </si>
  <si>
    <t>Kaliarik Jozef, st</t>
  </si>
  <si>
    <t>Koma Jakub, zomrel</t>
  </si>
  <si>
    <t>Maga Adolf, zomrel</t>
  </si>
  <si>
    <t>Todek Albín, Blcha</t>
  </si>
  <si>
    <t>Todek Jozef, Blcha</t>
  </si>
  <si>
    <t>Vevericová Antonia</t>
  </si>
  <si>
    <t>Záhorecová Antónia</t>
  </si>
  <si>
    <t>Záhorecová Margita</t>
  </si>
  <si>
    <t>Demko Jozef, Kollár</t>
  </si>
  <si>
    <t>Demko Ondrej, Babin</t>
  </si>
  <si>
    <t>Faga Bernát, zomrel</t>
  </si>
  <si>
    <t>Faga Ondrej, zomrel</t>
  </si>
  <si>
    <t>Frolo Juraj, zomrel</t>
  </si>
  <si>
    <t>Fulla Anton, zomrel</t>
  </si>
  <si>
    <t>Fulla Félix, zomrel</t>
  </si>
  <si>
    <t>Fulla Pavol, zomrel</t>
  </si>
  <si>
    <t>Hatalová Helena, ml</t>
  </si>
  <si>
    <t>Hubová Margita, mal</t>
  </si>
  <si>
    <t>Janiga Albín, najst</t>
  </si>
  <si>
    <t>Janigová Emília, st</t>
  </si>
  <si>
    <t>Lejko Jozef, zomrel</t>
  </si>
  <si>
    <t>Lejko Matej, zomrel</t>
  </si>
  <si>
    <t>Milan Juraj, zomrel</t>
  </si>
  <si>
    <t>Faga Tomáš</t>
  </si>
  <si>
    <t>Klukoš Ján</t>
  </si>
  <si>
    <t>Žiak Metod</t>
  </si>
  <si>
    <t>Ballo Jozef, Záhorec</t>
  </si>
  <si>
    <t>Fulla Ondrej, zomrel</t>
  </si>
  <si>
    <t>Hatala Jakub, zomrel</t>
  </si>
  <si>
    <t>Hatala Komenda Anton</t>
  </si>
  <si>
    <t>Hatala Pavel, zomrel</t>
  </si>
  <si>
    <t>Helková Margita, mal</t>
  </si>
  <si>
    <t>Heller Jakub, zomrel</t>
  </si>
  <si>
    <t>Hlinka Ondrej, Sidor</t>
  </si>
  <si>
    <t>Jeleník Jozef, Badin</t>
  </si>
  <si>
    <t>Kosa Ján, st. zomrel</t>
  </si>
  <si>
    <t>Kuniak Matej, zomrel</t>
  </si>
  <si>
    <t>Kurila Jozef, zomrel</t>
  </si>
  <si>
    <t>Lejko Martin, zomrel</t>
  </si>
  <si>
    <t>Urban Eduard, Holota</t>
  </si>
  <si>
    <t>Ballová Anna, zomrela</t>
  </si>
  <si>
    <t>Bocko Vojtech, zomrel</t>
  </si>
  <si>
    <t>Fulla Ján, ml. zomrel</t>
  </si>
  <si>
    <t>Fulla Ján, st. zomrel</t>
  </si>
  <si>
    <t>Fulla Klement, zomrel</t>
  </si>
  <si>
    <t>Hatala Peter, Komenda</t>
  </si>
  <si>
    <t>Helková Anna, zomrela</t>
  </si>
  <si>
    <t>Jeleník Viktor, Badin</t>
  </si>
  <si>
    <t>Jeleníková Mária, mal</t>
  </si>
  <si>
    <t>Juska Ján, st. zomrel</t>
  </si>
  <si>
    <t>Kendera Jozef, zomrel</t>
  </si>
  <si>
    <t>Koma Vendelín, zomrel</t>
  </si>
  <si>
    <t>Urban Florián, Mender</t>
  </si>
  <si>
    <t>Janči Anton</t>
  </si>
  <si>
    <t>Janči Cyril</t>
  </si>
  <si>
    <t>Janči Filip</t>
  </si>
  <si>
    <t>Janči Peter</t>
  </si>
  <si>
    <t>Jánoš Albín</t>
  </si>
  <si>
    <t>Jánoš Matej</t>
  </si>
  <si>
    <t>Koša Štefan</t>
  </si>
  <si>
    <t>Koma Štefan</t>
  </si>
  <si>
    <t>Sidor Matúš</t>
  </si>
  <si>
    <t>903 01 Senec, Letná 24</t>
  </si>
  <si>
    <t>Brna Jozef, st. zomrel</t>
  </si>
  <si>
    <t>Debnár Vojtech, zomrel</t>
  </si>
  <si>
    <t>Fulla Benjamín, zomrel</t>
  </si>
  <si>
    <t>Hatala Gabriel, zomrel</t>
  </si>
  <si>
    <t>Hatala Vladimír, MUDr.</t>
  </si>
  <si>
    <t>Hatalová Komenda Berta</t>
  </si>
  <si>
    <t>Hazucha Rudolf, zomrel</t>
  </si>
  <si>
    <t>Janigová Kristína, mal</t>
  </si>
  <si>
    <t>Jeleník Gustáv, zomrel</t>
  </si>
  <si>
    <t>Jeleník Ondrej, zomrel</t>
  </si>
  <si>
    <t>Juska Vendelín, zomrel</t>
  </si>
  <si>
    <t>Kaliarik Jozef, zomrel</t>
  </si>
  <si>
    <t>Koma Silvester, zomrel</t>
  </si>
  <si>
    <t>Kosa Juraj, st. zomrel</t>
  </si>
  <si>
    <t>Kuniak Ján, ml. zomrel</t>
  </si>
  <si>
    <t>Vevericová Helena, mal</t>
  </si>
  <si>
    <t>034 95 Likavka, Likavka</t>
  </si>
  <si>
    <t>919 26 Zavar, Hlavná 76</t>
  </si>
  <si>
    <t>941 33 Kolta, Kolta 208</t>
  </si>
  <si>
    <t>Demko Jozef, st. zomrel</t>
  </si>
  <si>
    <t>Demko Ján, Todek zomrel</t>
  </si>
  <si>
    <t>Fulla Jozef, ml. zomrel</t>
  </si>
  <si>
    <t>Fulla Jozef, st. zomrel</t>
  </si>
  <si>
    <t>Hatala Vendelín, zomrel</t>
  </si>
  <si>
    <t>Hlinková Mária, zomrela</t>
  </si>
  <si>
    <t>Huba Ondrej, st. zomrel</t>
  </si>
  <si>
    <t>Jeleník Ján, st. zomrel</t>
  </si>
  <si>
    <t>Kuniak Ladislav, zomrel</t>
  </si>
  <si>
    <t>Lejková Johana, zomrela</t>
  </si>
  <si>
    <t>Milanová Mária, zomrela</t>
  </si>
  <si>
    <t>Thiele Milan, 16.7.1935</t>
  </si>
  <si>
    <t>Urban Jozef, st. zomrel</t>
  </si>
  <si>
    <t>Urbanová Holotová Mária</t>
  </si>
  <si>
    <t>Bačkor Pavel</t>
  </si>
  <si>
    <t>Brtoš Eduard</t>
  </si>
  <si>
    <t>Dušička Emil</t>
  </si>
  <si>
    <t>Hančík Peter</t>
  </si>
  <si>
    <t>Hatala Matúš</t>
  </si>
  <si>
    <t>Hlaučo Peter</t>
  </si>
  <si>
    <t>Hlavčo Peter</t>
  </si>
  <si>
    <t>Janček Ignác</t>
  </si>
  <si>
    <t>Janček Jozef</t>
  </si>
  <si>
    <t>Janči Štefan</t>
  </si>
  <si>
    <t>Jánoš Štefan</t>
  </si>
  <si>
    <t>Klukoš Matúš</t>
  </si>
  <si>
    <t>Milan Štefan</t>
  </si>
  <si>
    <t>Pečner Karol</t>
  </si>
  <si>
    <t>Šulík Albert</t>
  </si>
  <si>
    <t>Brnová Adela, 23.12.1935</t>
  </si>
  <si>
    <t>Demková Emília, maloletá</t>
  </si>
  <si>
    <t>Frolo Ján, najst. zomrel</t>
  </si>
  <si>
    <t>Habo Jozef, Urban zomrel</t>
  </si>
  <si>
    <t>Hatala Ján, Vitko zomrel</t>
  </si>
  <si>
    <t>Helková Todeková Antónia</t>
  </si>
  <si>
    <t>Janiga Jozef, ml. zomrel</t>
  </si>
  <si>
    <t>Jeleníková Anna, zomrela</t>
  </si>
  <si>
    <t>Koháry Ján, nar.1.5.1967</t>
  </si>
  <si>
    <t>Kuniak Jozef, ml. zomrel</t>
  </si>
  <si>
    <t>Kuniak Jozef, st. zomrel</t>
  </si>
  <si>
    <t>Kuniaková Adela, zomrela</t>
  </si>
  <si>
    <t>Lacko Ján, nar.26.4.1949</t>
  </si>
  <si>
    <t>Suchý Ján, nar.16.7.1920</t>
  </si>
  <si>
    <t>Zuzicová Helena, zomrela</t>
  </si>
  <si>
    <t>029 62 Oravské Veselé 192</t>
  </si>
  <si>
    <t>034 95 Likavka, Likavka 9</t>
  </si>
  <si>
    <t>Balo Pavol, nar.23.6.1939</t>
  </si>
  <si>
    <t>Blchová Emília, rod.Kútna</t>
  </si>
  <si>
    <t>Bocko Milan, nar.9.4.1939</t>
  </si>
  <si>
    <t>Demko Jozef, Todek zomrel</t>
  </si>
  <si>
    <t>Demko Jozef, nar.6.8.1960</t>
  </si>
  <si>
    <t>Frolová Emília, rod.Kútna</t>
  </si>
  <si>
    <t>Fulla Jozef, nar.9.4.1977</t>
  </si>
  <si>
    <t>Fullová Mária, rod.Kosová</t>
  </si>
  <si>
    <t>Hatala Ján, najml. zomrel</t>
  </si>
  <si>
    <t>Hatala Ján, najst. zomrel</t>
  </si>
  <si>
    <t>Hatala Ondrej, st. zomrel</t>
  </si>
  <si>
    <t>Helko Pavol, nar.2.6.1944</t>
  </si>
  <si>
    <t>Koma Jozef, nar.16.4.1943</t>
  </si>
  <si>
    <t>Kuniak Ján, prast. zomrel</t>
  </si>
  <si>
    <t>Zuzicová Margita, zomrela</t>
  </si>
  <si>
    <t>Fulla Krištof</t>
  </si>
  <si>
    <t>Hlačina Karol</t>
  </si>
  <si>
    <t>Jánoš, zomrel</t>
  </si>
  <si>
    <t>Kudlička Emil</t>
  </si>
  <si>
    <t>Rusňák Gustáv</t>
  </si>
  <si>
    <t>Weisz Ľudovít</t>
  </si>
  <si>
    <t>Šnauko Albert</t>
  </si>
  <si>
    <t>Šnauko Eduard</t>
  </si>
  <si>
    <t>Šnauko Štefan</t>
  </si>
  <si>
    <t>Šubeník Matúš</t>
  </si>
  <si>
    <t>Šulíková Emma</t>
  </si>
  <si>
    <t>034 73 Liptovská Osada 231</t>
  </si>
  <si>
    <t>034 83 Liptovská Teplá 306</t>
  </si>
  <si>
    <t>Frolo Jozef, najst. zomrel</t>
  </si>
  <si>
    <t>Fulla Jozef, najst. zomrel</t>
  </si>
  <si>
    <t>Fulla Jozef, nar.14.5.1950</t>
  </si>
  <si>
    <t>Hatala Jozef, nar.2.4.1951</t>
  </si>
  <si>
    <t>Hatalová Komendová Margita</t>
  </si>
  <si>
    <t>Hatalová Komendová Rozália</t>
  </si>
  <si>
    <t>Hlinková Katarína, zomrela</t>
  </si>
  <si>
    <t>Huba Pavel, nar.14.11.1966</t>
  </si>
  <si>
    <t>Janiga Vojtech, ml. zomrel</t>
  </si>
  <si>
    <t>Janigová Berta, rod.Fagová</t>
  </si>
  <si>
    <t>Kohútová Katarína, zomrela</t>
  </si>
  <si>
    <t>Kuniaková Anna, rod.Hýravá</t>
  </si>
  <si>
    <t>Lacková Zuzana, rod.Hubová</t>
  </si>
  <si>
    <t>Milan Jozef, Brtko, zomrel</t>
  </si>
  <si>
    <t>Todeková Anna, st. zomrela</t>
  </si>
  <si>
    <t>Urban Anton, nar.2.12.1928</t>
  </si>
  <si>
    <t>Veverica Jozef, st. zomrel</t>
  </si>
  <si>
    <t>103 01 Praha, u Cihelny 431</t>
  </si>
  <si>
    <t>Babalová Irena, rod.Frolová</t>
  </si>
  <si>
    <t>Babálová Irena, rod.Frolová</t>
  </si>
  <si>
    <t>Chylová Adela, rod.Hatalová</t>
  </si>
  <si>
    <t>Debnár Jozef, nar.18.9.1923</t>
  </si>
  <si>
    <t>Demková Mária, rod.Hatalová</t>
  </si>
  <si>
    <t>Fagová Emília, rod.Fíniková</t>
  </si>
  <si>
    <t>Fulla Marian, nar.6.10.1946</t>
  </si>
  <si>
    <t>Fulla Marian, nar.6.10.1948</t>
  </si>
  <si>
    <t>Fullová Emília, st. zomrela</t>
  </si>
  <si>
    <t>Fullová Mária, rod.Hatalová</t>
  </si>
  <si>
    <t>Fullová Mária, rod.Michnová</t>
  </si>
  <si>
    <t>Fullová Mária, rod.Urbanová</t>
  </si>
  <si>
    <t>Hatala Ondrej, Vitko zomrel</t>
  </si>
  <si>
    <t>Horská Zuzana, rod.Nováková</t>
  </si>
  <si>
    <t>Hyravý Pavol, nar.17.7.1946</t>
  </si>
  <si>
    <t>Jacková Antónia, rod.Fulová</t>
  </si>
  <si>
    <t>Kuniak Peter, nar.24.4.1928</t>
  </si>
  <si>
    <t>Kuniaková Katarína, zomrela</t>
  </si>
  <si>
    <t>Lupták Milan, nar.17.8.1963</t>
  </si>
  <si>
    <t>Milan Ladislav, st., zomrel</t>
  </si>
  <si>
    <t>Sidor Pavol, nar.12.11.1950</t>
  </si>
  <si>
    <t>Smreková Eva, nar.16.9.1954</t>
  </si>
  <si>
    <t>Urban Ján, zomrel 26.2.1974</t>
  </si>
  <si>
    <t>Urban Marián, nar.8.12.1960</t>
  </si>
  <si>
    <t>Urban Michal, Holota zomrel</t>
  </si>
  <si>
    <t>Záhorcová Mária, rod.Brnová</t>
  </si>
  <si>
    <t>Bačkor Bernard</t>
  </si>
  <si>
    <t>Dušičková Anna</t>
  </si>
  <si>
    <t>Gejdoš Vojtech</t>
  </si>
  <si>
    <t>Hlačina Andrej</t>
  </si>
  <si>
    <t>Janči Ladislav</t>
  </si>
  <si>
    <t>Kudlička Peter</t>
  </si>
  <si>
    <t>Lajčiak Marián</t>
  </si>
  <si>
    <t>Lajčiak Ondrej</t>
  </si>
  <si>
    <t>Lajčiak Štefan</t>
  </si>
  <si>
    <t>Remeň Vladimír</t>
  </si>
  <si>
    <t>Rusňák Ján, ml</t>
  </si>
  <si>
    <t>Rusňáková Elza</t>
  </si>
  <si>
    <t>Sliačan Andrej</t>
  </si>
  <si>
    <t>034 95 Likavka, Likavka 1035</t>
  </si>
  <si>
    <t>Blcha Ladislav, nar.1.9.1940</t>
  </si>
  <si>
    <t>Debnárik Milan, nar.2.9.1965</t>
  </si>
  <si>
    <t>Droppová Mária, rod.Kubíková</t>
  </si>
  <si>
    <t>Hatala Anton, nar.28.10.1944</t>
  </si>
  <si>
    <t>Hatala Robert, nar.24.4.1938</t>
  </si>
  <si>
    <t>Helko Julián, nar.26.11.1938</t>
  </si>
  <si>
    <t>Horská Zuzana, nar.15.9.1975</t>
  </si>
  <si>
    <t>Huba Vladimír, nar.12.2.1938</t>
  </si>
  <si>
    <t>Hubová Zuzana, rod.Ondríková</t>
  </si>
  <si>
    <t>Janovcová Rohulková Katarína</t>
  </si>
  <si>
    <t>Jusková Zuzana, rod.Hatalová</t>
  </si>
  <si>
    <t>Koma Miroslav, nar.29.7.1932</t>
  </si>
  <si>
    <t>Kôrová Albína, rod.Debnárová</t>
  </si>
  <si>
    <t>Kútny Vladimír, nar.7.1.1952</t>
  </si>
  <si>
    <t>Ondrejka Ivan, nar.4.10.1960</t>
  </si>
  <si>
    <t>Sidor Vojtech, nar.16.8.1941</t>
  </si>
  <si>
    <t>Urbanová Jana, nar.12.2.1963</t>
  </si>
  <si>
    <t>Urbanová Mária, rod.Holotová</t>
  </si>
  <si>
    <t>Záhorec Jozef, nar.29.5.1953</t>
  </si>
  <si>
    <t>013 31 Divina 540, Divina 540</t>
  </si>
  <si>
    <t>036 01 Martin, Janka Nováka 2</t>
  </si>
  <si>
    <t>999 99 Kalameny, Kalameny 122</t>
  </si>
  <si>
    <t>Bocková Mária, rod.Vevericová</t>
  </si>
  <si>
    <t>Brokutová Cecília, rod.Brnová</t>
  </si>
  <si>
    <t>Garajová Helena, rod.Urbanová</t>
  </si>
  <si>
    <t>Hatala Ondrej, Komenda zomrel</t>
  </si>
  <si>
    <t>Hatala Rudolf, nar.14.12.1957</t>
  </si>
  <si>
    <t>Hatalová Adela, rod.Kurillová</t>
  </si>
  <si>
    <t>Hlásna Terézia, rod.Hazuchová</t>
  </si>
  <si>
    <t>Janiga Vladimír, nar.2.1.1953</t>
  </si>
  <si>
    <t>Janigová Helena, rod.Janigová</t>
  </si>
  <si>
    <t>Jeleník Anton, nar.30.10.1950</t>
  </si>
  <si>
    <t>Jeleníková Anna, rod.Urbanová</t>
  </si>
  <si>
    <t>Kaliarik Jozef, nar.23.4.1947</t>
  </si>
  <si>
    <t>Klubicová Emília, rod.Lejková</t>
  </si>
  <si>
    <t>Kuniak Vladimír, nar.7.6.1933</t>
  </si>
  <si>
    <t>Lejková Anna, rod.Jazorníková</t>
  </si>
  <si>
    <t>Lejková Emília, rod.Záhorcová</t>
  </si>
  <si>
    <t>Rázga Jozef, zomrel 30.8.2003</t>
  </si>
  <si>
    <t>Sidor Jozef, ml, nar.6.1.1933</t>
  </si>
  <si>
    <t>Sidor Pavol, zomrel 21.7.1986</t>
  </si>
  <si>
    <t>Todek Anton, zomrel 4.12.2003</t>
  </si>
  <si>
    <t>Todeková Kristína, rod.Kosová</t>
  </si>
  <si>
    <t>Tokár Jozef, zomrel 22.3.2003</t>
  </si>
  <si>
    <t>Urban Ernest, zomrel 1.9.1971</t>
  </si>
  <si>
    <t>Urbanová Helena, rod.Holotová</t>
  </si>
  <si>
    <t>Urbanová Mária, nar.29.6.1964</t>
  </si>
  <si>
    <t>Záhorec Anton, nar.14.10.1948</t>
  </si>
  <si>
    <t>Černová, Nová 1</t>
  </si>
  <si>
    <t>Halušková Adela</t>
  </si>
  <si>
    <t>Halušková Mária</t>
  </si>
  <si>
    <t>Jančiová Helena</t>
  </si>
  <si>
    <t>Kaliarik Štefan</t>
  </si>
  <si>
    <t>Kudlička Rudolf</t>
  </si>
  <si>
    <t>Kurilová Agneša</t>
  </si>
  <si>
    <t>Ondrejka Štefan</t>
  </si>
  <si>
    <t>Rusňáková Etela</t>
  </si>
  <si>
    <t>Smieška Ján, st</t>
  </si>
  <si>
    <t>Smiešková Mária</t>
  </si>
  <si>
    <t>Šnauko Adalbert</t>
  </si>
  <si>
    <t>821 03 Bratislava, Exnárová 43</t>
  </si>
  <si>
    <t>851 02 Bratislava, Romanova 33</t>
  </si>
  <si>
    <t>Brnová Katarína, rod.Hrabovská</t>
  </si>
  <si>
    <t>Debnárová Katarína, rod.Brnová</t>
  </si>
  <si>
    <t>Demková Emília, nar.19.11.1938</t>
  </si>
  <si>
    <t>Fagová Katarína, rod.Javorková</t>
  </si>
  <si>
    <t>Flochová Emília, rod.Kuniaková</t>
  </si>
  <si>
    <t>Fullová Apolónia, rod.Hatalová</t>
  </si>
  <si>
    <t>Hatala Jaroslav, nar.25.4.1938</t>
  </si>
  <si>
    <t>Hazuchová Katarína, rod.Fulová</t>
  </si>
  <si>
    <t>Hazuchová Rozália, rod.Fullová</t>
  </si>
  <si>
    <t>Helková Marta, rod.Kaliariková</t>
  </si>
  <si>
    <t>Holotta Florián, Urban, zomrel</t>
  </si>
  <si>
    <t>JRD 29.Augusta Liptovská Osada</t>
  </si>
  <si>
    <t>Jeleník Viliam, nar.19.10.1968</t>
  </si>
  <si>
    <t>Jeleník Vladimír, nar.8.4.1939</t>
  </si>
  <si>
    <t>Jeleníková Adela, rod.Hlinková</t>
  </si>
  <si>
    <t>Jeleníková Adela, rod.Urbanová</t>
  </si>
  <si>
    <t>Kaliarik Julian, nar.7.12.1934</t>
  </si>
  <si>
    <t>Kaljarová Rozália, rod.Fullová</t>
  </si>
  <si>
    <t>Komová Katarína, rod.Hazuchová</t>
  </si>
  <si>
    <t>Kurilová Rozália, rod.Hlinková</t>
  </si>
  <si>
    <t>Michnová Justína, rod.Janigová</t>
  </si>
  <si>
    <t>Urban Ondrej, zomrel 6.11.1981</t>
  </si>
  <si>
    <t>Urbanová Mária, rod.Polievková</t>
  </si>
  <si>
    <t>811 01 Bratislava 1, Mierova 19</t>
  </si>
  <si>
    <t>903 01 Senec, Pribinova 1194/13</t>
  </si>
  <si>
    <t>934 01 Levice, Zd. Nejedlého 13</t>
  </si>
  <si>
    <t>Ballová Antónia, rod.Vevericová</t>
  </si>
  <si>
    <t>Fullová Albína, rod.Kaliariková</t>
  </si>
  <si>
    <t>Janigová Katarína, rod.Zuzicová</t>
  </si>
  <si>
    <t>Jeleník Jaroslav, nar.21.9.1959</t>
  </si>
  <si>
    <t>Jeleník Vladimír, nar.26.1.1964</t>
  </si>
  <si>
    <t>Kaliarik Ján, ml, nar.27.1.1949</t>
  </si>
  <si>
    <t>Kaljariková Marta, nar.1.2.1936</t>
  </si>
  <si>
    <t>Komová Emília Norburga, zomrela</t>
  </si>
  <si>
    <t>Brtošová Rozália</t>
  </si>
  <si>
    <t>Demko Štefan, st</t>
  </si>
  <si>
    <t>Dušičková Helena</t>
  </si>
  <si>
    <t>Ferenčíková Anna</t>
  </si>
  <si>
    <t>Fulla Ján, Kučma</t>
  </si>
  <si>
    <t>Fulla Štefan, st</t>
  </si>
  <si>
    <t>Gejdoš Silvester</t>
  </si>
  <si>
    <t>Haluška Ladislav</t>
  </si>
  <si>
    <t>Jančeková Emília</t>
  </si>
  <si>
    <t>Janči Ondrej, st</t>
  </si>
  <si>
    <t>Jančiová Ľudmila</t>
  </si>
  <si>
    <t>Jančiová Margita</t>
  </si>
  <si>
    <t>Klukoš Peter, st</t>
  </si>
  <si>
    <t>Kudlička Vojtech</t>
  </si>
  <si>
    <t>Kudličková Ilona</t>
  </si>
  <si>
    <t>Lauček Jozef, st</t>
  </si>
  <si>
    <t>Laučeková Emília</t>
  </si>
  <si>
    <t>Mesto Ružomberok</t>
  </si>
  <si>
    <t>Milan Štefan, ml</t>
  </si>
  <si>
    <t>Sidor Štefan, st</t>
  </si>
  <si>
    <t>spôsob doručenia</t>
  </si>
  <si>
    <t>026 01 Dolný Kubín, Bysterecká 1</t>
  </si>
  <si>
    <t>817 15 Bratislava 11, Búdková 36</t>
  </si>
  <si>
    <t>831 01 Bratislava 37, Olivova 66</t>
  </si>
  <si>
    <t>Ballo Bartolomej, Záhorec zomrel</t>
  </si>
  <si>
    <t>Hatalová Janigová Mária, zomrela</t>
  </si>
  <si>
    <t>Hatalová Terézia, rod.Záhorecová</t>
  </si>
  <si>
    <t>Janiga Albín, st, nar.13.10.1938</t>
  </si>
  <si>
    <t>Jeleníková Emília, rod.Cibulková</t>
  </si>
  <si>
    <t>Kaliarik Vladimír, nar.2.10.1927</t>
  </si>
  <si>
    <t>Milanová Kristína, rod.Hazuchová</t>
  </si>
  <si>
    <t>Olejníková Adela, rod.Valihorová</t>
  </si>
  <si>
    <t>Podhorský Zoltán, nar.12.12.1922</t>
  </si>
  <si>
    <t>Sidorová Katarína, rod.Komendová</t>
  </si>
  <si>
    <t>Smoliarová Cecília, rod.Darilová</t>
  </si>
  <si>
    <t>Todeková Blchová Anna, rod.Chyla</t>
  </si>
  <si>
    <t>Urban Emanuel, zomrel 13.12.2007</t>
  </si>
  <si>
    <t>Urban Vojtech, zomrel 22.11.1974</t>
  </si>
  <si>
    <t>034 95 Likavka, Domov dôchodcov 9</t>
  </si>
  <si>
    <t>811 01 Bratislava 1, Komenova 222</t>
  </si>
  <si>
    <t>831 01 Bratislava 37, Vidlicová 2</t>
  </si>
  <si>
    <t>953 01 Zlaté Moravce, Tekovská 24</t>
  </si>
  <si>
    <t>960 01 Zvolen, Nám.Slobody 2013/5</t>
  </si>
  <si>
    <t>Cmarková Petronela, rod.Záhorcová</t>
  </si>
  <si>
    <t>Demko Vladimír, zomrel 19.11.2006</t>
  </si>
  <si>
    <t>Drechslerová Rena, rod.Fischerová</t>
  </si>
  <si>
    <t>Fagová Mária, rod.Komová, zomrela</t>
  </si>
  <si>
    <t>Frolo Jozef, najml, nar.2.12.1949</t>
  </si>
  <si>
    <t>Fulová Anna, rod.Lejková, zomrela</t>
  </si>
  <si>
    <t>Hatalová Kristína, rod.Vevericová</t>
  </si>
  <si>
    <t>Jeleníková Emília, rod.Polievková</t>
  </si>
  <si>
    <t>Kaliariková Mária, rod.Vevericová</t>
  </si>
  <si>
    <t>Urban Anton, Ing., nar.23.12.1931</t>
  </si>
  <si>
    <t>Vevericová Katarína, rod.Milanová</t>
  </si>
  <si>
    <t>Dušička Jozef, ml</t>
  </si>
  <si>
    <t>Dušičková Rozália</t>
  </si>
  <si>
    <t>Gejdoš Ondrej, ml</t>
  </si>
  <si>
    <t>Gejdoš Ondrej, st</t>
  </si>
  <si>
    <t>Halušková Matilda</t>
  </si>
  <si>
    <t>Jančeková Rozália</t>
  </si>
  <si>
    <t>Janiga Štefan, st</t>
  </si>
  <si>
    <t>Koreň Ján, Pagyik</t>
  </si>
  <si>
    <t>Kudličková Albína</t>
  </si>
  <si>
    <t>Papčo Ján, Janiga</t>
  </si>
  <si>
    <t>Rusňáková Margita</t>
  </si>
  <si>
    <t>Smieška Jakub, st</t>
  </si>
  <si>
    <t>Smieška Jozef, ml</t>
  </si>
  <si>
    <t>Smieška Jozef, st</t>
  </si>
  <si>
    <t>Smiešková Anna, 1</t>
  </si>
  <si>
    <t>Smiešková Antónia</t>
  </si>
  <si>
    <t>Smiešková Margita</t>
  </si>
  <si>
    <t>Šulík Dominik, Dr</t>
  </si>
  <si>
    <t>Šulík Vojtech, ml</t>
  </si>
  <si>
    <t>Šulíková Kristína</t>
  </si>
  <si>
    <t>036 01 Martin, Kozmonautov 3920/12</t>
  </si>
  <si>
    <t>811 01 Bratislava 1, Andrusovova 3</t>
  </si>
  <si>
    <t>841 01 Bratislava 42, Sokolíkova 9</t>
  </si>
  <si>
    <t>851 05 Bratislava 5, Andrusovova 3</t>
  </si>
  <si>
    <t>Faithová Iveta, Mgr., nar.2.5.1947</t>
  </si>
  <si>
    <t>Fullová Anna, rod.Lejková, zomrela</t>
  </si>
  <si>
    <t>Fulová Mária, Jeleníková Rusnáková</t>
  </si>
  <si>
    <t>Hazuchová Petronela, rod.Záhorcová</t>
  </si>
  <si>
    <t>Hlinková Sidorová Rozália, zomrela</t>
  </si>
  <si>
    <t>Jeleník Jozef, Dr., nar.22.10.1917</t>
  </si>
  <si>
    <t>Komová Anna, rod.Zuzicová, zomrela</t>
  </si>
  <si>
    <t>Kosa Ivan, rod.Kosa, nar.26.4.1963</t>
  </si>
  <si>
    <t>Milanová Mária, rod.Hatalová, Kajo</t>
  </si>
  <si>
    <t>Slovenský pozemkový fond, 17335345</t>
  </si>
  <si>
    <t>811 01 Bratislava 1, Batkova 1190/7</t>
  </si>
  <si>
    <t>972 51 Handlová, Morovnianska 27/15</t>
  </si>
  <si>
    <t>Chovanec Tibor, Ing., nar.27.4.1942</t>
  </si>
  <si>
    <t>Hatala Marián, MUDr., nar.10.6.1959</t>
  </si>
  <si>
    <t>Helková Mária, rod.Lejková, zomrela</t>
  </si>
  <si>
    <t>Hlinka Ladislav, ml, nar.27.11.1937</t>
  </si>
  <si>
    <t>Hubová Fulová Zuzana, rod.Ondríková</t>
  </si>
  <si>
    <t>Cibulka Štefan, ml</t>
  </si>
  <si>
    <t>Dušička Štefan, ml</t>
  </si>
  <si>
    <t>Fischer Štefan, Dr</t>
  </si>
  <si>
    <t>Hlačina Ondrej, ml</t>
  </si>
  <si>
    <t>Jančiová Mária, ml</t>
  </si>
  <si>
    <t>Jančiová Mária, st</t>
  </si>
  <si>
    <t>Lajčiak Ondrej, ml</t>
  </si>
  <si>
    <t>Lajčiak Ondrej, st</t>
  </si>
  <si>
    <t>Smieška Ondrej, st</t>
  </si>
  <si>
    <t>Smieška Štefan, st</t>
  </si>
  <si>
    <t>Šnauko Ján, zomrel</t>
  </si>
  <si>
    <t>851 01 Bratislava, Belinského 1077/2</t>
  </si>
  <si>
    <t>Demko Peter, rod.Demko, nar.4.8.1958</t>
  </si>
  <si>
    <t>Fagová Richtáriková Rozália, zomrela</t>
  </si>
  <si>
    <t>Fullová Mária, rod.Milanová, zomrela</t>
  </si>
  <si>
    <t>Fullová Zuzana, rod.Lejková, zomrela</t>
  </si>
  <si>
    <t>Hatalová Adela, rod.Lejková, zomrela</t>
  </si>
  <si>
    <t>Hazuchová Mária, rod.Fulová, zomrela</t>
  </si>
  <si>
    <t>Jeleník Otakar, Ing., nar.26.12.1954</t>
  </si>
  <si>
    <t>Magová Mária, rod.Kuniaková, zomrela</t>
  </si>
  <si>
    <t>Veverica Ján, ml., zomrel 13.12.1965</t>
  </si>
  <si>
    <t>026 01 Dolný Kubín, Záskalická 684/13</t>
  </si>
  <si>
    <t>841 01 Bratislava 42, Bullova 1172/25</t>
  </si>
  <si>
    <t>Callo Pavol, rod.Callo, nar.25.1.1950</t>
  </si>
  <si>
    <t>Demková Katarína, rod.Fullová, Hubová</t>
  </si>
  <si>
    <t>Faga Ladislav, rod.Faga, nar.1.9.1955</t>
  </si>
  <si>
    <t>Fagová Cecília, rod.Hatalová, zomrela</t>
  </si>
  <si>
    <t>Hatalová Mária, rod.Hatalová, zomrela</t>
  </si>
  <si>
    <t>Helková Todeková Kristína, rod.Kosová</t>
  </si>
  <si>
    <t>Kaliarik Rudolf, Ing., nar.16.12.1936</t>
  </si>
  <si>
    <t>Komová Apolónia, rod.Demková, zomrela</t>
  </si>
  <si>
    <t>034 91 Ľubochňa 150</t>
  </si>
  <si>
    <t>Hančík Urban Rudolf</t>
  </si>
  <si>
    <t>Helko Štefan, Todek</t>
  </si>
  <si>
    <t>Juska Matúš, zomrel</t>
  </si>
  <si>
    <t>Koreň Andrej, Ciger</t>
  </si>
  <si>
    <t>Lajčiak Jozef Cyril</t>
  </si>
  <si>
    <t>Milan František, st</t>
  </si>
  <si>
    <t>Mušuta Anton, Kolok</t>
  </si>
  <si>
    <t>Mušuta Jozef, Kolok</t>
  </si>
  <si>
    <t>OBVODNÝ ÚRAD ŽILINA</t>
  </si>
  <si>
    <t>Ondrejka Štefan, ml</t>
  </si>
  <si>
    <t>Peťo Ondrej, zomrel</t>
  </si>
  <si>
    <t>Urban Jozef, Černek</t>
  </si>
  <si>
    <t>Šulík Jakub, zomrel</t>
  </si>
  <si>
    <t>036 08 Martin Priekopa, Priekopská 130</t>
  </si>
  <si>
    <t>974 01 Banská Bystrica, Severná 1405/9</t>
  </si>
  <si>
    <t>Fullová Anna, rod.Holotová, r.Urbanová</t>
  </si>
  <si>
    <t>Fullová Mária, rod.Jeleníková, zomrela</t>
  </si>
  <si>
    <t>Furiel Peter, rod.Furiel, nar.3.4.1965</t>
  </si>
  <si>
    <t>Hatala Pavol, rod.Hatala, nar.8.8.1962</t>
  </si>
  <si>
    <t>Janigová Mária, rod.Kuniaková, zomrela</t>
  </si>
  <si>
    <t>Kuniaková Mária, rod.Todeková, Blchová</t>
  </si>
  <si>
    <t>Lejko Vojtech, rod.Lejko, nar.7.9.1954</t>
  </si>
  <si>
    <t>Magová Mária, rod.Kaliariková, zomrela</t>
  </si>
  <si>
    <t>Majková Katarína, rod.Lejková, zomrela</t>
  </si>
  <si>
    <t>Sidorová Antónia, rod.Jusková, zomrela</t>
  </si>
  <si>
    <t>Záhorová Eva, rod.Lucová, nar.8.4.1956</t>
  </si>
  <si>
    <t>841 07 Bratislava 49, Kosatcova 5488/27</t>
  </si>
  <si>
    <t>Ballová Apolónia, rod.Janigová, zomrela</t>
  </si>
  <si>
    <t>Ballová Cecília, rod.Záhorcová, zomrela</t>
  </si>
  <si>
    <t>Brokuta Ján, rod.Brokuta, nar.25.9.1948</t>
  </si>
  <si>
    <t>Darila Milan, rod.Darila, nar.21.3.1951</t>
  </si>
  <si>
    <t>Demková Katarína, rod.Buganová, zomrela</t>
  </si>
  <si>
    <t>Hatalová Katarína, rod.Lejková, zomrela</t>
  </si>
  <si>
    <t>Jeleníková Mária, rod.Todeková, zomrela</t>
  </si>
  <si>
    <t>Jeleníková Zuzana, rod.Lejková, zomrela</t>
  </si>
  <si>
    <t>Kaljar Pavol, rod.Kaljar, nar.28.4.1953</t>
  </si>
  <si>
    <t>Kuniaková Mária, rod.Javorková, zomrela</t>
  </si>
  <si>
    <t>Lejková Helena, rod.Hatalová, r.Vitková</t>
  </si>
  <si>
    <t>Vevericová Emília, rod.Lejková, zomrela</t>
  </si>
  <si>
    <t>Černová, Pri Váhu 62</t>
  </si>
  <si>
    <t>Dušičková Vlasta, ml</t>
  </si>
  <si>
    <t>Frolo Juraj, Klinček</t>
  </si>
  <si>
    <t>Fulla Vojtech, Kučma</t>
  </si>
  <si>
    <t>Hatalová Ľudmila, ml</t>
  </si>
  <si>
    <t>Hatalová Ľudmila, st</t>
  </si>
  <si>
    <t>Jánoš Štefan, zomrel</t>
  </si>
  <si>
    <t>Kašaj Albert, zomrel</t>
  </si>
  <si>
    <t>Kaliarik Ján, Bačkor</t>
  </si>
  <si>
    <t>Kudlička Pavel, Ing.</t>
  </si>
  <si>
    <t>Lejko Štefan, zomrel</t>
  </si>
  <si>
    <t>Sidor Jozef, Šibeník</t>
  </si>
  <si>
    <t>Urban Ján, Černek ml</t>
  </si>
  <si>
    <t>Urban Štefan, Hančík</t>
  </si>
  <si>
    <t>Urban Šándor, zomrel</t>
  </si>
  <si>
    <t>Šulík Ondrej, Kučera</t>
  </si>
  <si>
    <t>Ballová Apolónia, rod.Hazuchová, zomrela</t>
  </si>
  <si>
    <t>Feketová Anna, rod.Ballová, nar.9.4.1953</t>
  </si>
  <si>
    <t>Floch Vladimír, rod.Floch, nar.13.2.1974</t>
  </si>
  <si>
    <t>Kaliarová Zuzana, rod.Brnová, Kloptáková</t>
  </si>
  <si>
    <t>Komendová Emília, rod.Debnárová, zomrela</t>
  </si>
  <si>
    <t>Kuniak Bernard, MUDr.CSc., nar.26.8.1929</t>
  </si>
  <si>
    <t>MINISTERSTVO HOSPODÁRSTVA SLOV REPUBLIKY</t>
  </si>
  <si>
    <t>Nemec Miroslav, rod.Nemec, nar.21.9.1947</t>
  </si>
  <si>
    <t>Polievková Mária, rod.Cibulková, zomrela</t>
  </si>
  <si>
    <t>Suchý Vladimír, rod.Suchý, nar.27.5.1950</t>
  </si>
  <si>
    <t>Urban Bernard, Holota, zomrel 21.12.1977</t>
  </si>
  <si>
    <t>Urban Slavomír, rod.Urban, nar.27.1.1965</t>
  </si>
  <si>
    <t>Urbanová Katarína, rod.Babálová, zomrela</t>
  </si>
  <si>
    <t>027 54 Oravská Poruba, Oravská Poruba 371</t>
  </si>
  <si>
    <t>Bella Ján, rod.Bella, Ing., nar.31.8.1971</t>
  </si>
  <si>
    <t>Brnová Elena, rod.Mrenková, nar.28.8.1951</t>
  </si>
  <si>
    <t>Kamanová Alojzia, rod.Polievková, zomrela</t>
  </si>
  <si>
    <t>Mikulová Anna, rod.Sidorová, nar.6.5.1943</t>
  </si>
  <si>
    <t>Novotná Mária, rod.Lucová, nar.19.11.1953</t>
  </si>
  <si>
    <t>Černová, Čutkovská 27</t>
  </si>
  <si>
    <t>Bačkor Ján, Debnár ml</t>
  </si>
  <si>
    <t>Bačkor Štefan, Debnár</t>
  </si>
  <si>
    <t>Debnár Gustáv, Bačkor</t>
  </si>
  <si>
    <t>Dušička Jozef, Hlásny</t>
  </si>
  <si>
    <t>Haluška Štefan, najst</t>
  </si>
  <si>
    <t>Janček Ondrej, zomrel</t>
  </si>
  <si>
    <t>Janiga Leopold, Papčo</t>
  </si>
  <si>
    <t>Jeleník Matúš, zomrel</t>
  </si>
  <si>
    <t>Jánoš Adalbert, Kašaj</t>
  </si>
  <si>
    <t>Kaliar Štefan, zomrel</t>
  </si>
  <si>
    <t>Lajčiak Adolf, zomrel</t>
  </si>
  <si>
    <t>Lajčiak František, st</t>
  </si>
  <si>
    <t>Smieška Karol, zomrel</t>
  </si>
  <si>
    <t>Smiešková Jolana, mal</t>
  </si>
  <si>
    <t>Šulík Ján, ml. zomrel</t>
  </si>
  <si>
    <t>Šulík Ján, st. zomrel</t>
  </si>
  <si>
    <t>Žilina, T. Vansovej 4</t>
  </si>
  <si>
    <t>Bella Peter, rod.Bella, Ing., nar.7.6.1973</t>
  </si>
  <si>
    <t>Bályová Janka, rod.Hatalová, nar.14.5.1939</t>
  </si>
  <si>
    <t>Cúthová Helena, rod.Fullová, nar.29.9.1931</t>
  </si>
  <si>
    <t>Fajtová Emília, rod.Hatalová, nar.9.2.1940</t>
  </si>
  <si>
    <t>Flochová Anna, rod.Nováková, nar.29.8.1948</t>
  </si>
  <si>
    <t>Helková Marta, rod.Hatalová, nar.22.1.1941</t>
  </si>
  <si>
    <t>Janigová Berta, rod.Janigová, nar.9.2.1941</t>
  </si>
  <si>
    <t>Kuniak Miroslav, rod.Kuniak, nar.17.7.1967</t>
  </si>
  <si>
    <t>Mintalová Helena, rod.Holotová, r.Urbanová</t>
  </si>
  <si>
    <t>Oláhová Viera, rod.Záhorcová, nar.1.4.1948</t>
  </si>
  <si>
    <t>Pavelková Jana, rod.Demková, nar.21.7.1965</t>
  </si>
  <si>
    <t>Sarová Margita, rod.Blchová, nar.23.9.1950</t>
  </si>
  <si>
    <t>034 73 Liptovská Osada, Liptovská Osada 282</t>
  </si>
  <si>
    <t>Chovanec Libor, rod.Chovanec, nar.15.5.1955</t>
  </si>
  <si>
    <t>Darilová Antónia, rod.Demková, nar.3.9.1951</t>
  </si>
  <si>
    <t>Debnárik Peter, rod.Debnárik, nar.20.2.1961</t>
  </si>
  <si>
    <t>Drusková Mária, rod.Demková, nar.23.11.1939</t>
  </si>
  <si>
    <t>Furdeková Mária, rod.Blchová, nar.4.11.1948</t>
  </si>
  <si>
    <t>Gondová Viera, rod.Kaljarová, nar.10.4.1942</t>
  </si>
  <si>
    <t>Hatalová Antónia, rod.Urbanová, r.Menderová</t>
  </si>
  <si>
    <t>Kanda Peter, rod.Kanda, Ing., nar.6.11.1945</t>
  </si>
  <si>
    <t>Kútny Jozef, rod.Kútny, Mgr., nar.23.7.1974</t>
  </si>
  <si>
    <t>Lejková Emília, rod.Todeková, nar.20.7.1935</t>
  </si>
  <si>
    <t>Sagalová Emília, rod.Lejková, nar.21.6.1932</t>
  </si>
  <si>
    <t>Sidorová Beata, rod.Sidorová, nar.9.12.1961</t>
  </si>
  <si>
    <t>Sigetová Mária, rod.Sigetová, nar.25.9.1949</t>
  </si>
  <si>
    <t>Vevericová Katarína, rod.Debnárová, zomrela</t>
  </si>
  <si>
    <t>Vevericová Rozália, rod.Jeleníková, zomrela</t>
  </si>
  <si>
    <t>034 06 Černová, Nová 2</t>
  </si>
  <si>
    <t>Dušička Ondrej, Hlásny</t>
  </si>
  <si>
    <t>Ferenčíková Bernardína</t>
  </si>
  <si>
    <t>Hatala Štefan, Komenda</t>
  </si>
  <si>
    <t>Hazucha Štefan, zomrel</t>
  </si>
  <si>
    <t>Janiga Arnold, Šubeník</t>
  </si>
  <si>
    <t>Janiga Viktor, Šubeník</t>
  </si>
  <si>
    <t>Jánošová Kašajová Anna</t>
  </si>
  <si>
    <t>Kudlička Rudolf, Majka</t>
  </si>
  <si>
    <t>Kuniak Vojtech, Kabača</t>
  </si>
  <si>
    <t>Lajčiak Michal, zomrel</t>
  </si>
  <si>
    <t>Ružomberok, Lesná 8/15</t>
  </si>
  <si>
    <t>Šnauko Vojtech, zomrel</t>
  </si>
  <si>
    <t>Žiak Jozef, ml. zomrel</t>
  </si>
  <si>
    <t>Žiak Jozef, st. zomrel</t>
  </si>
  <si>
    <t>Hlinková Mária, rod.Jeleníková, nar.6.8.1918</t>
  </si>
  <si>
    <t>Hýravá Daniela, rod.Janigová, nar.11.12.1950</t>
  </si>
  <si>
    <t>Kosová Mária, rod.Jeleníková, nar.29.10.1951</t>
  </si>
  <si>
    <t>Kubasová Beáta, rod.Koháryová, nar.17.5.1972</t>
  </si>
  <si>
    <t>Kuniaková Mária, rod.Hadvábová, nar.4.7.1939</t>
  </si>
  <si>
    <t>Lacková Margita, rod.Babálová, nar.16.3.1949</t>
  </si>
  <si>
    <t>Letková Mária, rod.Koháryová, nar.28.10.1963</t>
  </si>
  <si>
    <t>Ristemiová Jana, rod.Fullová, nar.21.11.1960</t>
  </si>
  <si>
    <t>Sidorová Lýdia, rod.Ondrejková, nar.8.3.1937</t>
  </si>
  <si>
    <t>Suchá Anna, rod.Kyselová, Mgr., nar.6.4.1950</t>
  </si>
  <si>
    <t>Hatalová Bernardína, rod.Kosová, nar.5.5.1933</t>
  </si>
  <si>
    <t>Kollárová Emília, rod.Hlinková, nar.13.5.1925</t>
  </si>
  <si>
    <t>Kubatková Mária, rod.Milanová, nar.11.11.1948</t>
  </si>
  <si>
    <t>Luptáková Helena, rod.Litvová, nar.16.10.1938</t>
  </si>
  <si>
    <t>Milanová Mária, rod.Slavkovská, nar.17.5.1959</t>
  </si>
  <si>
    <t>Poloniová Anna, rod.Klubicová, nar.16.11.1946</t>
  </si>
  <si>
    <t>Rajtková Magdaléna, rod.Lejková, nar.5.2.1944</t>
  </si>
  <si>
    <t>Záhorcová Emília, rod.Todeková, nar.13.4.1931</t>
  </si>
  <si>
    <t>034 06 Černová, Černová</t>
  </si>
  <si>
    <t>034 06 Černová, Nová 26</t>
  </si>
  <si>
    <t>034 06 Černová, Nová 50</t>
  </si>
  <si>
    <t>034 06 Černová, Strmá 1</t>
  </si>
  <si>
    <t>Brtošová Mária, zomrela</t>
  </si>
  <si>
    <t>Fulla Štefan, 22.7.1936</t>
  </si>
  <si>
    <t>Hlavčo Vendelín, Mandík</t>
  </si>
  <si>
    <t>Janiga Bernard, Šubeník</t>
  </si>
  <si>
    <t>Janiga Vojtech, Šubeník</t>
  </si>
  <si>
    <t>Kaliarik Ondrej, Bačkor</t>
  </si>
  <si>
    <t>Kosa Štefan, st. zomrel</t>
  </si>
  <si>
    <t>Kudlička Štefan, zomrel</t>
  </si>
  <si>
    <t>Lajčiak Ján, st. zomrel</t>
  </si>
  <si>
    <t>Milan František, zomrel</t>
  </si>
  <si>
    <t>Smieška Ján, ml. zomrel</t>
  </si>
  <si>
    <t>Šulík Anton, ml. zomrel</t>
  </si>
  <si>
    <t>Šulík Anton, st. zomrel</t>
  </si>
  <si>
    <t>Šulík Jakub, ml. zomrel</t>
  </si>
  <si>
    <t>Šulík Jozef, st. zomrel</t>
  </si>
  <si>
    <t>Šulík Ján, Mihoň zomrel</t>
  </si>
  <si>
    <t>Šulíková Bobková Emília</t>
  </si>
  <si>
    <t>851 01 Bratislava, Vlastenecké námestie 1186/9</t>
  </si>
  <si>
    <t>Babala Peter, rod.Babala, JUDr., nar.22.6.1938</t>
  </si>
  <si>
    <t>Bachletová Emília, rod.Debnárová, nar.9.5.1936</t>
  </si>
  <si>
    <t>Fullová Anna, rod.Sidorová, r.Hlinková zomrela</t>
  </si>
  <si>
    <t>Galanová Melánia, rod.Hlinková, nar.19.12.1945</t>
  </si>
  <si>
    <t>Janigová Adela, rod.Habová, r.Urbanová zomrela</t>
  </si>
  <si>
    <t>Kaliarik Vladimír, rod.Kaliarik, nar.11.7.1962</t>
  </si>
  <si>
    <t>Kochlicová Iveta, rod.Mäsiarová, nar.11.6.1972</t>
  </si>
  <si>
    <t>Kuka Stanislav, rod.Kuka, Ing., nar.21.12.1955</t>
  </si>
  <si>
    <t>Michálková Marta, rod.Dobijová, nar.25.12.1950</t>
  </si>
  <si>
    <t>Polkorábová Viera, rod.Hatalová, nar.22.1.1951</t>
  </si>
  <si>
    <t>Vrzgulová Adela, rod.Fullová, zomrela 5.3.1988</t>
  </si>
  <si>
    <t>Debnáriková Otília, rod.Janigová, nar.15.7.1937</t>
  </si>
  <si>
    <t>Janigová Katarína, rod.Hubová, r.Fulová zomrela</t>
  </si>
  <si>
    <t>Kaliariková Mária, rod.Milanová, nar.28.10.1943</t>
  </si>
  <si>
    <t>Pacigová Anna, rod.Todeková, Mgr, nar.12.7.1942</t>
  </si>
  <si>
    <t>Sidorová Terézia, rod.Komová, zomrela 21.4.1973</t>
  </si>
  <si>
    <t>010 01 Žilina, J.Kráľa 4</t>
  </si>
  <si>
    <t>034 82 Lúčky, Trstená 23</t>
  </si>
  <si>
    <t>Demko Štefan, ml. zomrel</t>
  </si>
  <si>
    <t>Fulla Konštantín, zomrel</t>
  </si>
  <si>
    <t>Fulla Matúš, Huba zomrel</t>
  </si>
  <si>
    <t>Fullová Ľudmila, zomrela</t>
  </si>
  <si>
    <t>Kaman Štefan, st. zomrel</t>
  </si>
  <si>
    <t>Lajčiak Augustín, zomrel</t>
  </si>
  <si>
    <t>Lajčiak Kaliar Béla, mal</t>
  </si>
  <si>
    <t>Lauček Jozef, ml. zomrel</t>
  </si>
  <si>
    <t>Mušutová Kolková Margita</t>
  </si>
  <si>
    <t>Smieška Ján, Jedlička st</t>
  </si>
  <si>
    <t>Smiešková Adela, zomrela</t>
  </si>
  <si>
    <t>Smiešková Anna, Jedlička</t>
  </si>
  <si>
    <t>Smiešková Katarína, Huba</t>
  </si>
  <si>
    <t>Šubeník Jozef, Janiga ml</t>
  </si>
  <si>
    <t>Šubeník Jozef, Janiga st</t>
  </si>
  <si>
    <t>Šulík Ján, Kučera zomrel</t>
  </si>
  <si>
    <t>Šulík Ján, najst. zomrel</t>
  </si>
  <si>
    <t>Žiak Jozef, nar.3.3.1949</t>
  </si>
  <si>
    <t>Adamcová Magdaléna, rod.Podhorská, nar.16.6.1950</t>
  </si>
  <si>
    <t>Hlinková Mária, rod.Hlinková, Ing., nar.9.9.1968</t>
  </si>
  <si>
    <t>Stanová Mária, rod.Janigová, Mgr., nar.13.4.1949</t>
  </si>
  <si>
    <t>Todeková Katarína, rod.Hubová, zomrela 2.12.1980</t>
  </si>
  <si>
    <t>Záhradníková Marianna, rod.Komová, nar.13.5.1962</t>
  </si>
  <si>
    <t>034 06 Černová, Račkov 10</t>
  </si>
  <si>
    <t>053 23 Rudňany, Zimné 180</t>
  </si>
  <si>
    <t>Frolo Ján, Klinček zomrel</t>
  </si>
  <si>
    <t>Fulla Jozef, Kučma zomrel</t>
  </si>
  <si>
    <t>Jánošová Terézia, zomrela</t>
  </si>
  <si>
    <t>Kaliarik Ladislav, mladší</t>
  </si>
  <si>
    <t>Lajčiak Jozef, st. zomrel</t>
  </si>
  <si>
    <t>Lajčiak Juraj, ml. zomrel</t>
  </si>
  <si>
    <t>Laučeková Agneša, zomrela</t>
  </si>
  <si>
    <t>Smieška Jakub, ml. zomrel</t>
  </si>
  <si>
    <t>Šulík Jozef, najst.zomrel</t>
  </si>
  <si>
    <t>Šulík Vojtech, st. zomrel</t>
  </si>
  <si>
    <t>Žilina, Tatranská 3110/11</t>
  </si>
  <si>
    <t>Hatalová Komendová Katarína, rod.Urbanová, zomrela</t>
  </si>
  <si>
    <t>Janigová Katarína, rod.Todeková, r.Demková zomrela</t>
  </si>
  <si>
    <t>960 01 Zvolen - Neresnica, Neresnická cesta 2349/47</t>
  </si>
  <si>
    <t>Gedeonová Elfrida, rod.Urbanová, Ing., nar.2.3.1950</t>
  </si>
  <si>
    <t>Černová, Za Jaročkom 450/4</t>
  </si>
  <si>
    <t>034 01 Ružomberok, Nová 10</t>
  </si>
  <si>
    <t>034 01 Ružomberok, Nová 12</t>
  </si>
  <si>
    <t>034 01 Ružomberok, Nová 62</t>
  </si>
  <si>
    <t>034 06 Černová, Čremošná 4</t>
  </si>
  <si>
    <t>034 06 Černová, Čremošná 5</t>
  </si>
  <si>
    <t>034 06 Černová, Nová 201/6</t>
  </si>
  <si>
    <t>036 07 Vrútky, Šťastného 7</t>
  </si>
  <si>
    <t>Bačkorová Irena, DEBNÁROVÁ</t>
  </si>
  <si>
    <t>Bačkorová Mária, DEBNÁROVÁ</t>
  </si>
  <si>
    <t>Brtoš Pavol, nar.20.4.1925</t>
  </si>
  <si>
    <t>Demko Štefan, Todek zomrel</t>
  </si>
  <si>
    <t>Fulla Štefan, Kučma zomrel</t>
  </si>
  <si>
    <t>Hatala Matúš, Vitko zomrel</t>
  </si>
  <si>
    <t>Hlačina Ondrej, st. zomrel</t>
  </si>
  <si>
    <t>Janči Jozef, nar.11.3.1964</t>
  </si>
  <si>
    <t>Jánoš Peter, nar.24.7.1951</t>
  </si>
  <si>
    <t>Jánska Mária, rod.Jančiová</t>
  </si>
  <si>
    <t>Koreňová Katarína, zomrela</t>
  </si>
  <si>
    <t>Lajčiaková Zuzana, zomrela</t>
  </si>
  <si>
    <t>Lešková Anna, rod.Jánošová</t>
  </si>
  <si>
    <t>Lejko Ondrej, Kulaš zomrel</t>
  </si>
  <si>
    <t>Ružomberok, Makovického 18</t>
  </si>
  <si>
    <t>Smieška Ondrej, ml. zomrel</t>
  </si>
  <si>
    <t>Smieška Štefan, ml. zomrel</t>
  </si>
  <si>
    <t>Smiešková Paulína, zomrela</t>
  </si>
  <si>
    <t>Smiešková Zuzana, Jedlička</t>
  </si>
  <si>
    <t>Urban Dušan, nar.2.10.1943</t>
  </si>
  <si>
    <t>Šulík Cyril, Kučera zomrel</t>
  </si>
  <si>
    <t>Šulík Jakub, Kučera zomrel</t>
  </si>
  <si>
    <t>Šulík Pavol, nar.25.1.1951</t>
  </si>
  <si>
    <t>Šulík Štefan, Bobko zomrel</t>
  </si>
  <si>
    <t>Kyselová Martina, rod.Sidorová, PhDr., nar.24.9.1966</t>
  </si>
  <si>
    <t>Jeleník Pavol, rod.Jeleník, Ing., PhDr., nar.8.4.1959</t>
  </si>
  <si>
    <t>010 01 Žilina, Oravská 3153</t>
  </si>
  <si>
    <t>010 01 Žilina, Piešťanská 5</t>
  </si>
  <si>
    <t>034 01 Ružomberok, Poľná 41</t>
  </si>
  <si>
    <t>034 06 Černová, Čremošná 13</t>
  </si>
  <si>
    <t>034 06 Černová, Čutkovská 4</t>
  </si>
  <si>
    <t>034 06 Černová, A.Hlinku 11</t>
  </si>
  <si>
    <t>034 06 Černová, A.Hlinku 14</t>
  </si>
  <si>
    <t>034 06 Černová, A.Hlinku 44</t>
  </si>
  <si>
    <t>034 06 Černová, A.Hlinku 85</t>
  </si>
  <si>
    <t>034 06 Černová, Na Hôrky 11</t>
  </si>
  <si>
    <t>034 06 Černová, Na hôrky 15</t>
  </si>
  <si>
    <t>034 06 Černová, Na hôrky 24</t>
  </si>
  <si>
    <t>034 06 Černová, Nová 195/31</t>
  </si>
  <si>
    <t>034 06 Černová, Nová 203/10</t>
  </si>
  <si>
    <t>034 06 Černová, Nová 207/24</t>
  </si>
  <si>
    <t>034 06 Černová, Nová 220/54</t>
  </si>
  <si>
    <t>034 06 Černová, Pri Váhu 18</t>
  </si>
  <si>
    <t>034 06 Černová, Pri Váhu 75</t>
  </si>
  <si>
    <t>034 06 Černová, Pri Váhu 76</t>
  </si>
  <si>
    <t>034 06 Černová, Pri Váhu 80</t>
  </si>
  <si>
    <t>034 84 Liptovské Sliače 125</t>
  </si>
  <si>
    <t>Bačkor Anton, Debnár zomrel</t>
  </si>
  <si>
    <t>Ballová Adela, rod.Šulíková</t>
  </si>
  <si>
    <t>Dušička Anton, nar.8.2.1934</t>
  </si>
  <si>
    <t>Fulla Albert, Kučma, zomrel</t>
  </si>
  <si>
    <t>Fulla Štefan, najst. zomrel</t>
  </si>
  <si>
    <t>Fulla Štefan, nar.11.2.1921</t>
  </si>
  <si>
    <t>Fullová Žofia, rod.Hlavčová</t>
  </si>
  <si>
    <t>Hiravá Agneša, rod.Sidorová</t>
  </si>
  <si>
    <t>Hlavčo Peter, Mandík zomrel</t>
  </si>
  <si>
    <t>Hubová Mária, rod.Rošteková</t>
  </si>
  <si>
    <t>Hýrošová Emília, rod.Hubová</t>
  </si>
  <si>
    <t>Jašková Irena, rod.Janigová</t>
  </si>
  <si>
    <t>Janči Štefan, nar.20.4.1952</t>
  </si>
  <si>
    <t>Jančiová Mária, rod.Lejková</t>
  </si>
  <si>
    <t>Jančová Anna, rod.Dušičková</t>
  </si>
  <si>
    <t>Jánoš Albín, nar.21.11.1923</t>
  </si>
  <si>
    <t>Jánoš Rudolf, nar.21.3.1943</t>
  </si>
  <si>
    <t>Jánošová Albína, rod.Kosová</t>
  </si>
  <si>
    <t>Kaliar Ondrej, Benčo zomrel</t>
  </si>
  <si>
    <t>Kežmarok, Gen. Štefánika 45</t>
  </si>
  <si>
    <t>Lajčiak Jozef, Bocko zomrel</t>
  </si>
  <si>
    <t>Lajčiaková Cecília, zomrela</t>
  </si>
  <si>
    <t>Lajčiaková Justína, zomrela</t>
  </si>
  <si>
    <t>Makovická Ľudmila, Janigová</t>
  </si>
  <si>
    <t>Mlynček Adam, nar.26.3.1940</t>
  </si>
  <si>
    <t>Rybár Miloš, nar.16.12.1954</t>
  </si>
  <si>
    <t>Rázgová Mária, rod.Šulíková</t>
  </si>
  <si>
    <t>Smieška Vojtech, ml. zomrel</t>
  </si>
  <si>
    <t>Smieška Vojtech, st. zomrel</t>
  </si>
  <si>
    <t>Šnauková Helena, rod.Brnová</t>
  </si>
  <si>
    <t>Šulík Andrej, Kučera zomrel</t>
  </si>
  <si>
    <t>Šulík Marián, nar.12.8.1951</t>
  </si>
  <si>
    <t>010 01 Žilina, Tulská 1684/5</t>
  </si>
  <si>
    <t>034 01 Ružomberok, K.Salvu 7</t>
  </si>
  <si>
    <t>034 01 Ružomberok, Klačník 1</t>
  </si>
  <si>
    <t>034 01 Ružomberok, Veterná 4</t>
  </si>
  <si>
    <t>034 06 Černová, Čutkovská 28</t>
  </si>
  <si>
    <t>034 06 Černová, Čutkovská 29</t>
  </si>
  <si>
    <t>034 06 Černová, Čutkovská 60</t>
  </si>
  <si>
    <t>034 06 Černová, Čutkovská 62</t>
  </si>
  <si>
    <t>034 06 Černová, Jánošíkova 4</t>
  </si>
  <si>
    <t>034 06 Černová, Ku ihrisku 2</t>
  </si>
  <si>
    <t>034 06 Černová, Ku ihrisku 6</t>
  </si>
  <si>
    <t>034 06 Černová, Ku ihrisku 7</t>
  </si>
  <si>
    <t>034 06 Černová, Pri Váhu 113</t>
  </si>
  <si>
    <t>034 06 Černová, Pri Váhu 115</t>
  </si>
  <si>
    <t>034 06 Černová, Priehradka 5</t>
  </si>
  <si>
    <t>Bačkor Ondrej, Debnár zomrel</t>
  </si>
  <si>
    <t>Bratislava 35, Jurkovičova 3</t>
  </si>
  <si>
    <t>Bulafčík Jozef, nar.7.3.1940</t>
  </si>
  <si>
    <t>Buláková Oľga, rod.Podhorská</t>
  </si>
  <si>
    <t>Debnár Eduard, Bačkor zomrel</t>
  </si>
  <si>
    <t>Demková Emília, rod.Kivoňová</t>
  </si>
  <si>
    <t>Fagová Rozália, rod.Jančiová</t>
  </si>
  <si>
    <t>Frolová Amália, rod.Šulíková</t>
  </si>
  <si>
    <t>Hlačina Tibor, nar.23.2.1949</t>
  </si>
  <si>
    <t>Hlačina Štefan, nar.4.6.1950</t>
  </si>
  <si>
    <t>Hlavčová Apolonia, Mandíková</t>
  </si>
  <si>
    <t>Jančiová Albína, rod.Fullová</t>
  </si>
  <si>
    <t>Janigová Šubeníková Katarína</t>
  </si>
  <si>
    <t>Kaliar Ján, Benčo st. zomrel</t>
  </si>
  <si>
    <t>Klukoš Anton, nar.11.10.1924</t>
  </si>
  <si>
    <t>Koreň Bernard, nar.24.1.1932</t>
  </si>
  <si>
    <t>Kudlička Ivan, nar.23.4.1942</t>
  </si>
  <si>
    <t>Lajčiak Juraj, Štulák zomrel</t>
  </si>
  <si>
    <t>Lajčiak Juraj, najst. zomrel</t>
  </si>
  <si>
    <t>Oškera Mojmír, nar.23.5.1965</t>
  </si>
  <si>
    <t>Radošina, Piešťanská 553/112</t>
  </si>
  <si>
    <t>Remeňová Mária, rod.Hatalová</t>
  </si>
  <si>
    <t>Sliačan Milan, nar.15.9.1939</t>
  </si>
  <si>
    <t>Todeková Mária, rod.Hlavčová</t>
  </si>
  <si>
    <t>Zahorecová Irena, rod.Peťová</t>
  </si>
  <si>
    <t>Šulík Albert, Kučera, zomrel</t>
  </si>
  <si>
    <t>Šulíková Mária, nar.7.4.1982</t>
  </si>
  <si>
    <t>Ballo Jozef, rod.Ballo, zomrel 04.06.1997, nar.10.3.1919</t>
  </si>
  <si>
    <t>Urban Vladimír, rod.Urban, zomr.19.09.2006, nar.7.1.1935</t>
  </si>
  <si>
    <t>010 01 Žilina, Ľubľanská 2/61</t>
  </si>
  <si>
    <t>010 01 Žilina, J.M.Hurbana 44</t>
  </si>
  <si>
    <t>029 01 Námestovo, Fučíková 17</t>
  </si>
  <si>
    <t>034 01 Ružomberok, Baničné 12</t>
  </si>
  <si>
    <t>034 01 Ružomberok, Smrekova 2</t>
  </si>
  <si>
    <t>034 06 Černová, Jánošíkova 20</t>
  </si>
  <si>
    <t>034 06 Černová, Ku ihrisku 11</t>
  </si>
  <si>
    <t>034 06 Černová, Pri Váhu 9/17</t>
  </si>
  <si>
    <t>034 06 Černová, Priehradka 11</t>
  </si>
  <si>
    <t>034 06 Černová, Priehradka 14</t>
  </si>
  <si>
    <t>034 06 Černová, Priehradka 15</t>
  </si>
  <si>
    <t>034 06 Černová, Priehradka 25</t>
  </si>
  <si>
    <t>034 06 Černová, Priehradka 28</t>
  </si>
  <si>
    <t>034 06 Černová, Priehradka 34</t>
  </si>
  <si>
    <t>034 06 Černová, Priehradka 48</t>
  </si>
  <si>
    <t>034 06 Černová, Za jaročkom 3</t>
  </si>
  <si>
    <t>Bočková Justína, rod.Jančiová</t>
  </si>
  <si>
    <t>Brnová Katarína, rod.Jančiová</t>
  </si>
  <si>
    <t>Bulafčík Anton, nar.12.2.1938</t>
  </si>
  <si>
    <t>Bulafčík Peter, nar.17.2.1972</t>
  </si>
  <si>
    <t>Burošová Justína, rod.Fullová</t>
  </si>
  <si>
    <t>Bílešová Emília, rod.Šulíková</t>
  </si>
  <si>
    <t>Chylová Antónia, rod.Jančiová</t>
  </si>
  <si>
    <t>Cibulka Štefan, nar.15.3.1928</t>
  </si>
  <si>
    <t>Debnár Vojtech, Bačkor zomrel</t>
  </si>
  <si>
    <t>Demková Agneša, rod.Smiešková</t>
  </si>
  <si>
    <t>Dušičková Anna, nar.24.1.1952</t>
  </si>
  <si>
    <t>Frolová Mária, rod.Kudličková</t>
  </si>
  <si>
    <t>Fullová Alžbeta, rod.Cmarková</t>
  </si>
  <si>
    <t>Haluška Anton, nar.22.11.1949</t>
  </si>
  <si>
    <t>Haluška Dominik, nar.8.3.1948</t>
  </si>
  <si>
    <t>Halušková Mária, rod.Jánošová</t>
  </si>
  <si>
    <t>Hančík Vladimír, nar.9.2.1946</t>
  </si>
  <si>
    <t>Hazuchová Anna, rod.Hlačinová</t>
  </si>
  <si>
    <t>Hlačinová Anna, rod.Hazuchová</t>
  </si>
  <si>
    <t>Hlačinová Mária, rod.Šulíková</t>
  </si>
  <si>
    <t>Janči Vladimír, nar.10.6.1941</t>
  </si>
  <si>
    <t>Jánoš Juraj, st. Kašaj zomrel</t>
  </si>
  <si>
    <t>Kaliarik Jozef, Bačkor zomrel</t>
  </si>
  <si>
    <t>Peckovič Štefan, nar.5.2.1924</t>
  </si>
  <si>
    <t>Slavonice, u Sv.Čecha 396, ČR</t>
  </si>
  <si>
    <t>Smiešková Bernardína, zomrela</t>
  </si>
  <si>
    <t>Smiešková Irena, rod.Hatalová</t>
  </si>
  <si>
    <t>Šnauková Zuzana, rod.Koreňová</t>
  </si>
  <si>
    <t>Cibulka Peter, rod.Cibulka, zomr.09.06.2014, nar.22.5.1926</t>
  </si>
  <si>
    <t>034 01 Ružomberok, Fatranská 6</t>
  </si>
  <si>
    <t>034 01 Ružomberok, Kľačno 21/4</t>
  </si>
  <si>
    <t>034 01 Ružomberok, Plavisko 37</t>
  </si>
  <si>
    <t>034 01 Ružomberok, Považská 17</t>
  </si>
  <si>
    <t>034 01 Ružomberok, Š.Moyzesa 4</t>
  </si>
  <si>
    <t>034 01 Ružomberok, Š.Moyzesa 7</t>
  </si>
  <si>
    <t>034 06 Černová, Černová 375/19</t>
  </si>
  <si>
    <t>034 06 Černová, Na Hôrky 370/9</t>
  </si>
  <si>
    <t>034 06 Černová, Pri Váhu 13/25</t>
  </si>
  <si>
    <t>034 06 Černová, Pri Váhu 28/55</t>
  </si>
  <si>
    <t>034 06 Ružomberok, Pri Váhu 59</t>
  </si>
  <si>
    <t>080 01 Prešov, Marka Čulena 10</t>
  </si>
  <si>
    <t>Bačkorová Katarína, rod.Brnová</t>
  </si>
  <si>
    <t>Bačkorová Mária, rod.Hlačinová</t>
  </si>
  <si>
    <t>Bocková Zuzana, rod.Maťokárová</t>
  </si>
  <si>
    <t>Buzalková Mária, rod.Dušičková</t>
  </si>
  <si>
    <t>Buzalková Mária, rod.Rošteková</t>
  </si>
  <si>
    <t>Debnárová Irena, rod.Bačkorová</t>
  </si>
  <si>
    <t>Dušičková Adela, rod.Halušková</t>
  </si>
  <si>
    <t>Gejdoš Rastislav, nar.1.5.1972</t>
  </si>
  <si>
    <t>Hančíková Emília, rod.Milanová</t>
  </si>
  <si>
    <t>Hančíková Vilma, rod.Debnárová</t>
  </si>
  <si>
    <t>Hatalová Emília, rod.Bačkorová</t>
  </si>
  <si>
    <t>Helková Antónia, rod.Jančeková</t>
  </si>
  <si>
    <t>Hlačina Matúš, Panštiar zomrel</t>
  </si>
  <si>
    <t>Hlinková Emília, rod.Kupčíková</t>
  </si>
  <si>
    <t>Hlinková Emília, rod.Laučeková</t>
  </si>
  <si>
    <t>Jánošová Rozália, rod.Hatalová</t>
  </si>
  <si>
    <t>Kenderová Agneša, rod.Hlinková</t>
  </si>
  <si>
    <t>Kopanicová Anna, rod.Gejdošová</t>
  </si>
  <si>
    <t>Kubáňová Jarmila, rod.Húleková</t>
  </si>
  <si>
    <t>Lajčiak Vojtech, Kaliar zomrel</t>
  </si>
  <si>
    <t>Lajčiaková Kaliarová Anna, mal</t>
  </si>
  <si>
    <t>Sliačan Cyprián, Adamec zomrel</t>
  </si>
  <si>
    <t>Sliačan Štefan, nar.28.12.1941</t>
  </si>
  <si>
    <t>Smieška Juraj, Jedlička zomrel</t>
  </si>
  <si>
    <t>Smiešková Helena, rod.Šulíková</t>
  </si>
  <si>
    <t>Urbanová Mária, rod.Sliačanová</t>
  </si>
  <si>
    <t>Valihora Ľudovít, zomrel, Ing.</t>
  </si>
  <si>
    <t>Šnauko Ladislav, nar.29.8.1946</t>
  </si>
  <si>
    <t>Šulík Benjamín, Kučera, zomrel</t>
  </si>
  <si>
    <t>Šulík Bernard, zomrel 7.8.2000</t>
  </si>
  <si>
    <t>Šulík Jozef, Kučera ml. zomrel</t>
  </si>
  <si>
    <t>Šulík Jozef, Kučera st. zomrel</t>
  </si>
  <si>
    <t>Šulík Ladislav, nar.29.10.1953</t>
  </si>
  <si>
    <t>Šulíkova Amália, rod.Kuniaková</t>
  </si>
  <si>
    <t>Šulíková Emília, nar.5.10.1928</t>
  </si>
  <si>
    <t>Janiga Róbert, rod.Janiga, Mgr., PaedDr., PhD., nar.6.1.1981</t>
  </si>
  <si>
    <t>010 08 Žilina, Fatranská 3100/6</t>
  </si>
  <si>
    <t>034 01 Černová, Čremošná 184/10</t>
  </si>
  <si>
    <t>034 01 Ružomberok, Čutkovská 15</t>
  </si>
  <si>
    <t>034 01 Ružomberok, I.Houdeka 54</t>
  </si>
  <si>
    <t>034 01 Ružomberok, K. Sidora 41</t>
  </si>
  <si>
    <t>034 01 Ružomberok, K.F.Palmu 37</t>
  </si>
  <si>
    <t>034 01 Ružomberok, Kľačno 33/15</t>
  </si>
  <si>
    <t>034 01 Ružomberok, Kukučínova 5</t>
  </si>
  <si>
    <t>034 01 Ružomberok, Lesná 2035/9</t>
  </si>
  <si>
    <t>034 01 Ružomberok, M.Madačova 4</t>
  </si>
  <si>
    <t>034 01 Ružomberok, Za dráhou 13</t>
  </si>
  <si>
    <t>034 01 Ružomberok, Š.Moyzesa 24</t>
  </si>
  <si>
    <t>034 06 Černová, Čremošná 172/21</t>
  </si>
  <si>
    <t>034 06 Černová, Čremošná 8164/1</t>
  </si>
  <si>
    <t>034 06 Černová, Pri Váhu 100/80</t>
  </si>
  <si>
    <t>034 06 Černová, Pri Váhu 101/80</t>
  </si>
  <si>
    <t>034 06 Černová, Slnečná 8423/12</t>
  </si>
  <si>
    <t>034 06 Černová, Včelárska 425/1</t>
  </si>
  <si>
    <t>034 06 Ružomberok, Nová 8555/27</t>
  </si>
  <si>
    <t>036 01 Martin, Puškinova 4617/4</t>
  </si>
  <si>
    <t>060 01 Kežmarok, Topercerova 21</t>
  </si>
  <si>
    <t>Bačkor Karol, Debnár st. zomrel</t>
  </si>
  <si>
    <t>Bačkorová Justína, rod.Jančiová</t>
  </si>
  <si>
    <t>Debnárová Zuzana, rod.Smiešková</t>
  </si>
  <si>
    <t>Demková Katarína, rod.Hančíková</t>
  </si>
  <si>
    <t>Demková Rozália, rod.Kudličková</t>
  </si>
  <si>
    <t>Dolinská Margita, rod.Jančeková</t>
  </si>
  <si>
    <t>Lacová Mária, rod.Šulíková, nar.26.2.1949,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</si>
</sst>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  <numFmt numFmtId="180" formatCode="0.000"/>
    <numFmt numFmtId="181" formatCode="0.0"/>
    <numFmt numFmtId="182" formatCode="[$-41B]dd\.\ mmmm\ yyyy"/>
  </numFmts>
  <fonts count="39">
    <font>
      <sz val="10"/>
      <name val="Arial"/>
      <family val="0"/>
    </font>
    <font>
      <sz val="9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57"/>
  <sheetViews>
    <sheetView tabSelected="1" view="pageLayout" workbookViewId="0" topLeftCell="A813">
      <selection activeCell="E815" sqref="E815"/>
    </sheetView>
  </sheetViews>
  <sheetFormatPr defaultColWidth="9.140625" defaultRowHeight="12.75"/>
  <cols>
    <col min="1" max="1" width="13.57421875" style="4" customWidth="1"/>
    <col min="2" max="2" width="12.140625" style="4" hidden="1" customWidth="1"/>
    <col min="3" max="4" width="13.421875" style="2" hidden="1" customWidth="1"/>
    <col min="5" max="5" width="64.140625" style="2" customWidth="1"/>
    <col min="6" max="6" width="42.28125" style="2" customWidth="1"/>
    <col min="7" max="7" width="8.00390625" style="6" customWidth="1"/>
    <col min="8" max="8" width="9.140625" style="7" customWidth="1"/>
    <col min="9" max="16384" width="9.140625" style="2" customWidth="1"/>
  </cols>
  <sheetData>
    <row r="1" spans="1:8" s="11" customFormat="1" ht="21.75" customHeight="1">
      <c r="A1" s="8" t="s">
        <v>564</v>
      </c>
      <c r="B1" s="8" t="s">
        <v>557</v>
      </c>
      <c r="C1" s="9" t="s">
        <v>1007</v>
      </c>
      <c r="D1" s="9" t="s">
        <v>551</v>
      </c>
      <c r="E1" s="9" t="s">
        <v>549</v>
      </c>
      <c r="F1" s="9" t="s">
        <v>550</v>
      </c>
      <c r="G1" s="10" t="s">
        <v>548</v>
      </c>
      <c r="H1" s="7" t="s">
        <v>547</v>
      </c>
    </row>
    <row r="2" spans="1:8" ht="18" customHeight="1">
      <c r="A2" s="3">
        <f>0</f>
        <v>0</v>
      </c>
      <c r="B2" s="3">
        <f>1</f>
        <v>1</v>
      </c>
      <c r="C2" s="1">
        <f>0</f>
        <v>0</v>
      </c>
      <c r="D2" s="1">
        <f>0</f>
        <v>0</v>
      </c>
      <c r="E2" s="1" t="s">
        <v>1325</v>
      </c>
      <c r="F2" s="1" t="s">
        <v>28</v>
      </c>
      <c r="G2" s="5">
        <f>2.5833</f>
        <v>2.5833</v>
      </c>
      <c r="H2" s="7">
        <f aca="true" t="shared" si="0" ref="H2:H65">SUM(100/229253*G$1:G$65536)</f>
        <v>0.001126833672841795</v>
      </c>
    </row>
    <row r="3" spans="1:8" ht="14.25" customHeight="1">
      <c r="A3" s="3">
        <f>0</f>
        <v>0</v>
      </c>
      <c r="B3" s="3">
        <f>1</f>
        <v>1</v>
      </c>
      <c r="C3" s="1">
        <f>0</f>
        <v>0</v>
      </c>
      <c r="D3" s="1">
        <f>0</f>
        <v>0</v>
      </c>
      <c r="E3" s="1" t="s">
        <v>544</v>
      </c>
      <c r="F3" s="1" t="s">
        <v>1386</v>
      </c>
      <c r="G3" s="5">
        <f>242.1667</f>
        <v>242.1667</v>
      </c>
      <c r="H3" s="7">
        <f t="shared" si="0"/>
        <v>0.10563294700614605</v>
      </c>
    </row>
    <row r="4" spans="1:8" ht="14.25" customHeight="1">
      <c r="A4" s="3">
        <f>0</f>
        <v>0</v>
      </c>
      <c r="B4" s="3">
        <f>1</f>
        <v>1</v>
      </c>
      <c r="C4" s="1">
        <f>0</f>
        <v>0</v>
      </c>
      <c r="D4" s="1">
        <f>0</f>
        <v>0</v>
      </c>
      <c r="E4" s="1" t="s">
        <v>522</v>
      </c>
      <c r="F4" s="1" t="s">
        <v>912</v>
      </c>
      <c r="G4" s="5">
        <f>333.375</f>
        <v>333.375</v>
      </c>
      <c r="H4" s="7">
        <f t="shared" si="0"/>
        <v>0.14541794436714023</v>
      </c>
    </row>
    <row r="5" spans="1:8" ht="14.25" customHeight="1">
      <c r="A5" s="3">
        <f>0</f>
        <v>0</v>
      </c>
      <c r="B5" s="3">
        <f>1</f>
        <v>1</v>
      </c>
      <c r="C5" s="1">
        <f>0</f>
        <v>0</v>
      </c>
      <c r="D5" s="1">
        <f>0</f>
        <v>0</v>
      </c>
      <c r="E5" s="1" t="s">
        <v>1289</v>
      </c>
      <c r="F5" s="1" t="s">
        <v>66</v>
      </c>
      <c r="G5" s="5">
        <f>245</f>
        <v>245</v>
      </c>
      <c r="H5" s="7">
        <f t="shared" si="0"/>
        <v>0.10686883050603481</v>
      </c>
    </row>
    <row r="6" spans="1:8" ht="14.25" customHeight="1">
      <c r="A6" s="3">
        <f>3</f>
        <v>3</v>
      </c>
      <c r="B6" s="3">
        <f>1</f>
        <v>1</v>
      </c>
      <c r="C6" s="1">
        <f>0</f>
        <v>0</v>
      </c>
      <c r="D6" s="1">
        <f>0</f>
        <v>0</v>
      </c>
      <c r="E6" s="1" t="s">
        <v>851</v>
      </c>
      <c r="F6" s="1"/>
      <c r="G6" s="5">
        <f>105</f>
        <v>105</v>
      </c>
      <c r="H6" s="7">
        <f t="shared" si="0"/>
        <v>0.0458009273597292</v>
      </c>
    </row>
    <row r="7" spans="1:8" ht="14.25" customHeight="1">
      <c r="A7" s="3">
        <f>3</f>
        <v>3</v>
      </c>
      <c r="B7" s="3">
        <f>1</f>
        <v>1</v>
      </c>
      <c r="C7" s="1">
        <f>0</f>
        <v>0</v>
      </c>
      <c r="D7" s="1">
        <f>0</f>
        <v>0</v>
      </c>
      <c r="E7" s="1" t="s">
        <v>852</v>
      </c>
      <c r="F7" s="1"/>
      <c r="G7" s="5">
        <f>7</f>
        <v>7</v>
      </c>
      <c r="H7" s="7">
        <f t="shared" si="0"/>
        <v>0.0030533951573152806</v>
      </c>
    </row>
    <row r="8" spans="1:8" ht="14.25" customHeight="1">
      <c r="A8" s="3">
        <f>0</f>
        <v>0</v>
      </c>
      <c r="B8" s="3">
        <f>1</f>
        <v>1</v>
      </c>
      <c r="C8" s="1">
        <f>0</f>
        <v>0</v>
      </c>
      <c r="D8" s="1">
        <f>0</f>
        <v>0</v>
      </c>
      <c r="E8" s="1" t="s">
        <v>355</v>
      </c>
      <c r="F8" s="1" t="s">
        <v>1399</v>
      </c>
      <c r="G8" s="5">
        <f>853.3667</f>
        <v>853.3667</v>
      </c>
      <c r="H8" s="7">
        <f t="shared" si="0"/>
        <v>0.37223796417058885</v>
      </c>
    </row>
    <row r="9" spans="1:8" ht="14.25" customHeight="1">
      <c r="A9" s="3">
        <f>3</f>
        <v>3</v>
      </c>
      <c r="B9" s="3">
        <f>1</f>
        <v>1</v>
      </c>
      <c r="C9" s="1">
        <f>0</f>
        <v>0</v>
      </c>
      <c r="D9" s="1">
        <f>0</f>
        <v>0</v>
      </c>
      <c r="E9" s="1" t="s">
        <v>1402</v>
      </c>
      <c r="F9" s="1"/>
      <c r="G9" s="5">
        <f>27.45</f>
        <v>27.45</v>
      </c>
      <c r="H9" s="7">
        <f t="shared" si="0"/>
        <v>0.011973671009757778</v>
      </c>
    </row>
    <row r="10" spans="1:8" ht="14.25" customHeight="1">
      <c r="A10" s="3">
        <f>3</f>
        <v>3</v>
      </c>
      <c r="B10" s="3">
        <f>1</f>
        <v>1</v>
      </c>
      <c r="C10" s="1">
        <f>0</f>
        <v>0</v>
      </c>
      <c r="D10" s="1">
        <f>0</f>
        <v>0</v>
      </c>
      <c r="E10" s="1" t="s">
        <v>877</v>
      </c>
      <c r="F10" s="1"/>
      <c r="G10" s="5">
        <f>7</f>
        <v>7</v>
      </c>
      <c r="H10" s="7">
        <f t="shared" si="0"/>
        <v>0.0030533951573152806</v>
      </c>
    </row>
    <row r="11" spans="1:8" ht="14.25" customHeight="1">
      <c r="A11" s="3">
        <f>3</f>
        <v>3</v>
      </c>
      <c r="B11" s="3">
        <f>1</f>
        <v>1</v>
      </c>
      <c r="C11" s="1">
        <f>0</f>
        <v>0</v>
      </c>
      <c r="D11" s="1">
        <f>0</f>
        <v>0</v>
      </c>
      <c r="E11" s="1" t="s">
        <v>382</v>
      </c>
      <c r="F11" s="1"/>
      <c r="G11" s="5">
        <f>42.045</f>
        <v>42.045</v>
      </c>
      <c r="H11" s="7">
        <f t="shared" si="0"/>
        <v>0.018339999912760137</v>
      </c>
    </row>
    <row r="12" spans="1:8" ht="14.25" customHeight="1">
      <c r="A12" s="3">
        <f>3</f>
        <v>3</v>
      </c>
      <c r="B12" s="3">
        <f>1</f>
        <v>1</v>
      </c>
      <c r="C12" s="1">
        <f>0</f>
        <v>0</v>
      </c>
      <c r="D12" s="1">
        <f>0</f>
        <v>0</v>
      </c>
      <c r="E12" s="1" t="s">
        <v>1189</v>
      </c>
      <c r="F12" s="1"/>
      <c r="G12" s="5">
        <f>0.2857</f>
        <v>0.2857</v>
      </c>
      <c r="H12" s="7">
        <f t="shared" si="0"/>
        <v>0.00012462214234928222</v>
      </c>
    </row>
    <row r="13" spans="1:8" ht="14.25" customHeight="1">
      <c r="A13" s="3">
        <f>3</f>
        <v>3</v>
      </c>
      <c r="B13" s="3">
        <f>1</f>
        <v>1</v>
      </c>
      <c r="C13" s="1">
        <f>0</f>
        <v>0</v>
      </c>
      <c r="D13" s="1">
        <f>0</f>
        <v>0</v>
      </c>
      <c r="E13" s="1" t="s">
        <v>1592</v>
      </c>
      <c r="F13" s="1"/>
      <c r="G13" s="5">
        <f>138.35</f>
        <v>138.35</v>
      </c>
      <c r="H13" s="7">
        <f t="shared" si="0"/>
        <v>0.060348174287795577</v>
      </c>
    </row>
    <row r="14" spans="1:8" ht="14.25" customHeight="1">
      <c r="A14" s="3">
        <f>3</f>
        <v>3</v>
      </c>
      <c r="B14" s="3">
        <f>1</f>
        <v>1</v>
      </c>
      <c r="C14" s="1">
        <f>0</f>
        <v>0</v>
      </c>
      <c r="D14" s="1">
        <f>0</f>
        <v>0</v>
      </c>
      <c r="E14" s="1" t="s">
        <v>1449</v>
      </c>
      <c r="F14" s="1"/>
      <c r="G14" s="5">
        <f>234.5375</f>
        <v>234.5375</v>
      </c>
      <c r="H14" s="7">
        <f t="shared" si="0"/>
        <v>0.10230509524411893</v>
      </c>
    </row>
    <row r="15" spans="1:8" ht="14.25" customHeight="1">
      <c r="A15" s="3">
        <f>3</f>
        <v>3</v>
      </c>
      <c r="B15" s="3">
        <f>1</f>
        <v>1</v>
      </c>
      <c r="C15" s="1">
        <f>0</f>
        <v>0</v>
      </c>
      <c r="D15" s="1">
        <f>0</f>
        <v>0</v>
      </c>
      <c r="E15" s="1" t="s">
        <v>773</v>
      </c>
      <c r="F15" s="1"/>
      <c r="G15" s="5">
        <f>75.4</f>
        <v>75.4</v>
      </c>
      <c r="H15" s="7">
        <f t="shared" si="0"/>
        <v>0.03288942783736745</v>
      </c>
    </row>
    <row r="16" spans="1:8" ht="14.25" customHeight="1">
      <c r="A16" s="3">
        <f>0</f>
        <v>0</v>
      </c>
      <c r="B16" s="3">
        <f>1</f>
        <v>1</v>
      </c>
      <c r="C16" s="1">
        <f>0</f>
        <v>0</v>
      </c>
      <c r="D16" s="1">
        <f>0</f>
        <v>0</v>
      </c>
      <c r="E16" s="1" t="s">
        <v>189</v>
      </c>
      <c r="F16" s="1" t="s">
        <v>373</v>
      </c>
      <c r="G16" s="5">
        <f>949</f>
        <v>949</v>
      </c>
      <c r="H16" s="7">
        <f t="shared" si="0"/>
        <v>0.4139531434703144</v>
      </c>
    </row>
    <row r="17" spans="1:8" ht="14.25" customHeight="1">
      <c r="A17" s="3">
        <f>0</f>
        <v>0</v>
      </c>
      <c r="B17" s="3">
        <f>1</f>
        <v>1</v>
      </c>
      <c r="C17" s="1">
        <f>0</f>
        <v>0</v>
      </c>
      <c r="D17" s="1">
        <f>0</f>
        <v>0</v>
      </c>
      <c r="E17" s="1" t="s">
        <v>190</v>
      </c>
      <c r="F17" s="1" t="s">
        <v>1436</v>
      </c>
      <c r="G17" s="5">
        <f>693.53</f>
        <v>693.53</v>
      </c>
      <c r="H17" s="7">
        <f t="shared" si="0"/>
        <v>0.30251730620755235</v>
      </c>
    </row>
    <row r="18" spans="1:8" ht="14.25" customHeight="1">
      <c r="A18" s="3">
        <f>3</f>
        <v>3</v>
      </c>
      <c r="B18" s="3">
        <f>1</f>
        <v>1</v>
      </c>
      <c r="C18" s="1">
        <f>0</f>
        <v>0</v>
      </c>
      <c r="D18" s="1">
        <f>0</f>
        <v>0</v>
      </c>
      <c r="E18" s="1" t="s">
        <v>1190</v>
      </c>
      <c r="F18" s="1"/>
      <c r="G18" s="5">
        <f>44.2</f>
        <v>44.2</v>
      </c>
      <c r="H18" s="7">
        <f t="shared" si="0"/>
        <v>0.019280009421905057</v>
      </c>
    </row>
    <row r="19" spans="1:8" ht="14.25" customHeight="1">
      <c r="A19" s="3">
        <f>0</f>
        <v>0</v>
      </c>
      <c r="B19" s="3">
        <f>1</f>
        <v>1</v>
      </c>
      <c r="C19" s="1">
        <f>0</f>
        <v>0</v>
      </c>
      <c r="D19" s="1">
        <f>0</f>
        <v>0</v>
      </c>
      <c r="E19" s="1" t="s">
        <v>476</v>
      </c>
      <c r="F19" s="1" t="s">
        <v>245</v>
      </c>
      <c r="G19" s="5">
        <f>341</f>
        <v>341</v>
      </c>
      <c r="H19" s="7">
        <f t="shared" si="0"/>
        <v>0.14874396409207294</v>
      </c>
    </row>
    <row r="20" spans="1:8" ht="14.25" customHeight="1">
      <c r="A20" s="3">
        <f>3</f>
        <v>3</v>
      </c>
      <c r="B20" s="3">
        <f>1</f>
        <v>1</v>
      </c>
      <c r="C20" s="1">
        <f>0</f>
        <v>0</v>
      </c>
      <c r="D20" s="1">
        <f>0</f>
        <v>0</v>
      </c>
      <c r="E20" s="1" t="s">
        <v>191</v>
      </c>
      <c r="F20" s="1"/>
      <c r="G20" s="5">
        <f>161.8333</f>
        <v>161.8333</v>
      </c>
      <c r="H20" s="7">
        <f t="shared" si="0"/>
        <v>0.07059157350176443</v>
      </c>
    </row>
    <row r="21" spans="1:8" ht="14.25" customHeight="1">
      <c r="A21" s="3">
        <f>0</f>
        <v>0</v>
      </c>
      <c r="B21" s="3">
        <f>1</f>
        <v>1</v>
      </c>
      <c r="C21" s="1">
        <f>0</f>
        <v>0</v>
      </c>
      <c r="D21" s="1">
        <f>0</f>
        <v>0</v>
      </c>
      <c r="E21" s="1" t="s">
        <v>383</v>
      </c>
      <c r="F21" s="1" t="s">
        <v>1188</v>
      </c>
      <c r="G21" s="5">
        <f>82</f>
        <v>82</v>
      </c>
      <c r="H21" s="7">
        <f t="shared" si="0"/>
        <v>0.03576834327140757</v>
      </c>
    </row>
    <row r="22" spans="1:8" ht="14.25" customHeight="1">
      <c r="A22" s="3">
        <f>0</f>
        <v>0</v>
      </c>
      <c r="B22" s="3">
        <f>1</f>
        <v>1</v>
      </c>
      <c r="C22" s="1">
        <f>0</f>
        <v>0</v>
      </c>
      <c r="D22" s="1">
        <f>0</f>
        <v>0</v>
      </c>
      <c r="E22" s="1" t="s">
        <v>353</v>
      </c>
      <c r="F22" s="1" t="s">
        <v>1572</v>
      </c>
      <c r="G22" s="5">
        <f>530.3</f>
        <v>530.3</v>
      </c>
      <c r="H22" s="7">
        <f t="shared" si="0"/>
        <v>0.23131649313204186</v>
      </c>
    </row>
    <row r="23" spans="1:8" ht="14.25" customHeight="1">
      <c r="A23" s="3">
        <f>3</f>
        <v>3</v>
      </c>
      <c r="B23" s="3">
        <f>1</f>
        <v>1</v>
      </c>
      <c r="C23" s="1">
        <f>0</f>
        <v>0</v>
      </c>
      <c r="D23" s="1">
        <f>0</f>
        <v>0</v>
      </c>
      <c r="E23" s="1" t="s">
        <v>1355</v>
      </c>
      <c r="F23" s="1"/>
      <c r="G23" s="5">
        <f>121.83</f>
        <v>121.83</v>
      </c>
      <c r="H23" s="7">
        <f t="shared" si="0"/>
        <v>0.053142161716531515</v>
      </c>
    </row>
    <row r="24" spans="1:8" ht="14.25" customHeight="1">
      <c r="A24" s="3">
        <f>3</f>
        <v>3</v>
      </c>
      <c r="B24" s="3">
        <f>1</f>
        <v>1</v>
      </c>
      <c r="C24" s="1">
        <f>0</f>
        <v>0</v>
      </c>
      <c r="D24" s="1">
        <f>0</f>
        <v>0</v>
      </c>
      <c r="E24" s="1" t="s">
        <v>1593</v>
      </c>
      <c r="F24" s="1"/>
      <c r="G24" s="5">
        <f>1.6875</f>
        <v>1.6875</v>
      </c>
      <c r="H24" s="7">
        <f t="shared" si="0"/>
        <v>0.0007360863325670766</v>
      </c>
    </row>
    <row r="25" spans="1:8" ht="14.25" customHeight="1">
      <c r="A25" s="3">
        <f>3</f>
        <v>3</v>
      </c>
      <c r="B25" s="3">
        <f>1</f>
        <v>1</v>
      </c>
      <c r="C25" s="1">
        <f>0</f>
        <v>0</v>
      </c>
      <c r="D25" s="1">
        <f>0</f>
        <v>0</v>
      </c>
      <c r="E25" s="1" t="s">
        <v>1535</v>
      </c>
      <c r="F25" s="1"/>
      <c r="G25" s="5">
        <f>14.015</f>
        <v>14.015</v>
      </c>
      <c r="H25" s="7">
        <f t="shared" si="0"/>
        <v>0.00611333330425338</v>
      </c>
    </row>
    <row r="26" spans="1:8" ht="14.25" customHeight="1">
      <c r="A26" s="3">
        <f>0</f>
        <v>0</v>
      </c>
      <c r="B26" s="3">
        <f>1</f>
        <v>1</v>
      </c>
      <c r="C26" s="1">
        <f>0</f>
        <v>0</v>
      </c>
      <c r="D26" s="1">
        <f>0</f>
        <v>0</v>
      </c>
      <c r="E26" s="1" t="s">
        <v>322</v>
      </c>
      <c r="F26" s="1" t="s">
        <v>1353</v>
      </c>
      <c r="G26" s="5">
        <f>178.4444</f>
        <v>178.4444</v>
      </c>
      <c r="H26" s="7">
        <f t="shared" si="0"/>
        <v>0.0778373238300044</v>
      </c>
    </row>
    <row r="27" spans="1:8" ht="14.25" customHeight="1">
      <c r="A27" s="3">
        <f>0</f>
        <v>0</v>
      </c>
      <c r="B27" s="3">
        <f>1</f>
        <v>1</v>
      </c>
      <c r="C27" s="1">
        <f>0</f>
        <v>0</v>
      </c>
      <c r="D27" s="1">
        <f>0</f>
        <v>0</v>
      </c>
      <c r="E27" s="1" t="s">
        <v>413</v>
      </c>
      <c r="F27" s="1" t="s">
        <v>1444</v>
      </c>
      <c r="G27" s="5">
        <f>522.1458</f>
        <v>522.1458</v>
      </c>
      <c r="H27" s="7">
        <f t="shared" si="0"/>
        <v>0.22775963673321614</v>
      </c>
    </row>
    <row r="28" spans="1:8" ht="14.25" customHeight="1">
      <c r="A28" s="3">
        <f>3</f>
        <v>3</v>
      </c>
      <c r="B28" s="3">
        <f>1</f>
        <v>1</v>
      </c>
      <c r="C28" s="1">
        <f>0</f>
        <v>0</v>
      </c>
      <c r="D28" s="1">
        <f>0</f>
        <v>0</v>
      </c>
      <c r="E28" s="1" t="s">
        <v>1356</v>
      </c>
      <c r="F28" s="1"/>
      <c r="G28" s="5">
        <f>26.85</f>
        <v>26.85</v>
      </c>
      <c r="H28" s="7">
        <f t="shared" si="0"/>
        <v>0.011711951424845041</v>
      </c>
    </row>
    <row r="29" spans="1:8" ht="14.25" customHeight="1">
      <c r="A29" s="3">
        <f>3</f>
        <v>3</v>
      </c>
      <c r="B29" s="3">
        <f>1</f>
        <v>1</v>
      </c>
      <c r="C29" s="1">
        <f>0</f>
        <v>0</v>
      </c>
      <c r="D29" s="1">
        <f>0</f>
        <v>0</v>
      </c>
      <c r="E29" s="1" t="s">
        <v>1536</v>
      </c>
      <c r="F29" s="1"/>
      <c r="G29" s="5">
        <f>83.6667</f>
        <v>83.6667</v>
      </c>
      <c r="H29" s="7">
        <f t="shared" si="0"/>
        <v>0.03649535665836434</v>
      </c>
    </row>
    <row r="30" spans="1:8" ht="14.25" customHeight="1">
      <c r="A30" s="3">
        <f>3</f>
        <v>3</v>
      </c>
      <c r="B30" s="3">
        <f>1</f>
        <v>1</v>
      </c>
      <c r="C30" s="1">
        <f>0</f>
        <v>0</v>
      </c>
      <c r="D30" s="1">
        <f>0</f>
        <v>0</v>
      </c>
      <c r="E30" s="1" t="s">
        <v>296</v>
      </c>
      <c r="F30" s="1"/>
      <c r="G30" s="5">
        <f>5.6667</f>
        <v>5.6667</v>
      </c>
      <c r="H30" s="7">
        <f t="shared" si="0"/>
        <v>0.0024718106197083567</v>
      </c>
    </row>
    <row r="31" spans="1:8" ht="14.25" customHeight="1">
      <c r="A31" s="3">
        <f>0</f>
        <v>0</v>
      </c>
      <c r="B31" s="3">
        <f>1</f>
        <v>1</v>
      </c>
      <c r="C31" s="1">
        <f>0</f>
        <v>0</v>
      </c>
      <c r="D31" s="1">
        <f>0</f>
        <v>0</v>
      </c>
      <c r="E31" s="1" t="s">
        <v>354</v>
      </c>
      <c r="F31" s="1" t="s">
        <v>64</v>
      </c>
      <c r="G31" s="5">
        <f>409.5</f>
        <v>409.5</v>
      </c>
      <c r="H31" s="7">
        <f t="shared" si="0"/>
        <v>0.1786236167029439</v>
      </c>
    </row>
    <row r="32" spans="1:8" ht="14.25" customHeight="1">
      <c r="A32" s="3">
        <f>0</f>
        <v>0</v>
      </c>
      <c r="B32" s="3">
        <f>1</f>
        <v>1</v>
      </c>
      <c r="C32" s="1">
        <f>0</f>
        <v>0</v>
      </c>
      <c r="D32" s="1">
        <f>0</f>
        <v>0</v>
      </c>
      <c r="E32" s="1" t="s">
        <v>384</v>
      </c>
      <c r="F32" s="1" t="s">
        <v>408</v>
      </c>
      <c r="G32" s="5">
        <f>2263.5</f>
        <v>2263.5</v>
      </c>
      <c r="H32" s="7">
        <f t="shared" si="0"/>
        <v>0.9873371340833054</v>
      </c>
    </row>
    <row r="33" spans="1:8" ht="14.25" customHeight="1">
      <c r="A33" s="3">
        <f>0</f>
        <v>0</v>
      </c>
      <c r="B33" s="3">
        <f>1</f>
        <v>1</v>
      </c>
      <c r="C33" s="1">
        <f>0</f>
        <v>0</v>
      </c>
      <c r="D33" s="1">
        <f>0</f>
        <v>0</v>
      </c>
      <c r="E33" s="1" t="s">
        <v>1290</v>
      </c>
      <c r="F33" s="1" t="s">
        <v>60</v>
      </c>
      <c r="G33" s="5">
        <f>736.4444</f>
        <v>736.4444</v>
      </c>
      <c r="H33" s="7">
        <f t="shared" si="0"/>
        <v>0.32123653779885103</v>
      </c>
    </row>
    <row r="34" spans="1:8" ht="14.25" customHeight="1">
      <c r="A34" s="3">
        <f>0</f>
        <v>0</v>
      </c>
      <c r="B34" s="3">
        <f>1</f>
        <v>1</v>
      </c>
      <c r="C34" s="1">
        <f>0</f>
        <v>0</v>
      </c>
      <c r="D34" s="1">
        <f>0</f>
        <v>0</v>
      </c>
      <c r="E34" s="1" t="s">
        <v>442</v>
      </c>
      <c r="F34" s="1" t="s">
        <v>119</v>
      </c>
      <c r="G34" s="5">
        <f>59.761</f>
        <v>59.761</v>
      </c>
      <c r="H34" s="7">
        <f t="shared" si="0"/>
        <v>0.026067706856616926</v>
      </c>
    </row>
    <row r="35" spans="1:8" ht="14.25" customHeight="1">
      <c r="A35" s="3">
        <f>0</f>
        <v>0</v>
      </c>
      <c r="B35" s="3">
        <f>1</f>
        <v>1</v>
      </c>
      <c r="C35" s="1">
        <f>0</f>
        <v>0</v>
      </c>
      <c r="D35" s="1">
        <f>0</f>
        <v>0</v>
      </c>
      <c r="E35" s="1" t="s">
        <v>165</v>
      </c>
      <c r="F35" s="1" t="s">
        <v>488</v>
      </c>
      <c r="G35" s="5">
        <f>282</f>
        <v>282</v>
      </c>
      <c r="H35" s="7">
        <f t="shared" si="0"/>
        <v>0.123008204908987</v>
      </c>
    </row>
    <row r="36" spans="1:8" ht="14.25" customHeight="1">
      <c r="A36" s="3">
        <f>0</f>
        <v>0</v>
      </c>
      <c r="B36" s="3">
        <f>1</f>
        <v>1</v>
      </c>
      <c r="C36" s="1">
        <f>0</f>
        <v>0</v>
      </c>
      <c r="D36" s="1">
        <f>0</f>
        <v>0</v>
      </c>
      <c r="E36" s="1" t="s">
        <v>323</v>
      </c>
      <c r="F36" s="1" t="s">
        <v>488</v>
      </c>
      <c r="G36" s="5">
        <f>229.3333</f>
        <v>229.3333</v>
      </c>
      <c r="H36" s="7">
        <f t="shared" si="0"/>
        <v>0.1000350268044475</v>
      </c>
    </row>
    <row r="37" spans="1:8" ht="14.25" customHeight="1">
      <c r="A37" s="3">
        <f>3</f>
        <v>3</v>
      </c>
      <c r="B37" s="3">
        <f>1</f>
        <v>1</v>
      </c>
      <c r="C37" s="1">
        <f>0</f>
        <v>0</v>
      </c>
      <c r="D37" s="1">
        <f>0</f>
        <v>0</v>
      </c>
      <c r="E37" s="1" t="s">
        <v>192</v>
      </c>
      <c r="F37" s="1"/>
      <c r="G37" s="5">
        <f>34.7</f>
        <v>34.7</v>
      </c>
      <c r="H37" s="7">
        <f t="shared" si="0"/>
        <v>0.015136115994120035</v>
      </c>
    </row>
    <row r="38" spans="1:8" ht="14.25" customHeight="1">
      <c r="A38" s="3">
        <f>3</f>
        <v>3</v>
      </c>
      <c r="B38" s="3">
        <f>1</f>
        <v>1</v>
      </c>
      <c r="C38" s="1">
        <f>0</f>
        <v>0</v>
      </c>
      <c r="D38" s="1">
        <f>0</f>
        <v>0</v>
      </c>
      <c r="E38" s="1" t="s">
        <v>576</v>
      </c>
      <c r="F38" s="1"/>
      <c r="G38" s="5">
        <f>7.6111</f>
        <v>7.6111</v>
      </c>
      <c r="H38" s="7">
        <f t="shared" si="0"/>
        <v>0.0033199565545489044</v>
      </c>
    </row>
    <row r="39" spans="1:8" ht="14.25" customHeight="1">
      <c r="A39" s="3">
        <f>3</f>
        <v>3</v>
      </c>
      <c r="B39" s="3">
        <f>1</f>
        <v>1</v>
      </c>
      <c r="C39" s="1">
        <f>0</f>
        <v>0</v>
      </c>
      <c r="D39" s="1">
        <f>0</f>
        <v>0</v>
      </c>
      <c r="E39" s="1" t="s">
        <v>1011</v>
      </c>
      <c r="F39" s="1"/>
      <c r="G39" s="5">
        <f>48.5</f>
        <v>48.5</v>
      </c>
      <c r="H39" s="7">
        <f t="shared" si="0"/>
        <v>0.021155666447113013</v>
      </c>
    </row>
    <row r="40" spans="1:8" ht="14.25" customHeight="1">
      <c r="A40" s="3">
        <f>3</f>
        <v>3</v>
      </c>
      <c r="B40" s="3">
        <f>1</f>
        <v>1</v>
      </c>
      <c r="C40" s="1">
        <f>0</f>
        <v>0</v>
      </c>
      <c r="D40" s="1">
        <f>0</f>
        <v>0</v>
      </c>
      <c r="E40" s="1" t="s">
        <v>627</v>
      </c>
      <c r="F40" s="1"/>
      <c r="G40" s="5">
        <f>287</f>
        <v>287</v>
      </c>
      <c r="H40" s="7">
        <f t="shared" si="0"/>
        <v>0.12518920144992648</v>
      </c>
    </row>
    <row r="41" spans="1:8" ht="14.25" customHeight="1">
      <c r="A41" s="3">
        <f>0</f>
        <v>0</v>
      </c>
      <c r="B41" s="3">
        <f>1</f>
        <v>1</v>
      </c>
      <c r="C41" s="1">
        <f>0</f>
        <v>0</v>
      </c>
      <c r="D41" s="1">
        <f>0</f>
        <v>0</v>
      </c>
      <c r="E41" s="1" t="s">
        <v>1476</v>
      </c>
      <c r="F41" s="1" t="s">
        <v>266</v>
      </c>
      <c r="G41" s="5">
        <f>283</f>
        <v>283</v>
      </c>
      <c r="H41" s="7">
        <f t="shared" si="0"/>
        <v>0.12344440421717491</v>
      </c>
    </row>
    <row r="42" spans="1:8" ht="14.25" customHeight="1">
      <c r="A42" s="3">
        <f>3</f>
        <v>3</v>
      </c>
      <c r="B42" s="3">
        <f>1</f>
        <v>1</v>
      </c>
      <c r="C42" s="1">
        <f>0</f>
        <v>0</v>
      </c>
      <c r="D42" s="1">
        <f>0</f>
        <v>0</v>
      </c>
      <c r="E42" s="1" t="s">
        <v>703</v>
      </c>
      <c r="F42" s="1"/>
      <c r="G42" s="5">
        <f>960.9375</f>
        <v>960.9375</v>
      </c>
      <c r="H42" s="7">
        <f t="shared" si="0"/>
        <v>0.41916027271180745</v>
      </c>
    </row>
    <row r="43" spans="1:8" ht="14.25" customHeight="1">
      <c r="A43" s="3">
        <f>3</f>
        <v>3</v>
      </c>
      <c r="B43" s="3">
        <f>1</f>
        <v>1</v>
      </c>
      <c r="C43" s="1">
        <f>0</f>
        <v>0</v>
      </c>
      <c r="D43" s="1">
        <f>0</f>
        <v>0</v>
      </c>
      <c r="E43" s="1" t="s">
        <v>648</v>
      </c>
      <c r="F43" s="1"/>
      <c r="G43" s="5">
        <f>256.2875</f>
        <v>256.2875</v>
      </c>
      <c r="H43" s="7">
        <f t="shared" si="0"/>
        <v>0.11179243019720571</v>
      </c>
    </row>
    <row r="44" spans="1:8" ht="14.25" customHeight="1">
      <c r="A44" s="3">
        <f>3</f>
        <v>3</v>
      </c>
      <c r="B44" s="3">
        <f>1</f>
        <v>1</v>
      </c>
      <c r="C44" s="1">
        <f>0</f>
        <v>0</v>
      </c>
      <c r="D44" s="1">
        <f>0</f>
        <v>0</v>
      </c>
      <c r="E44" s="1" t="s">
        <v>1403</v>
      </c>
      <c r="F44" s="1"/>
      <c r="G44" s="5">
        <f>920.224</f>
        <v>920.224</v>
      </c>
      <c r="H44" s="7">
        <f t="shared" si="0"/>
        <v>0.40140107217789955</v>
      </c>
    </row>
    <row r="45" spans="1:8" ht="14.25" customHeight="1">
      <c r="A45" s="3">
        <f>3</f>
        <v>3</v>
      </c>
      <c r="B45" s="3">
        <f>1</f>
        <v>1</v>
      </c>
      <c r="C45" s="1">
        <f>0</f>
        <v>0</v>
      </c>
      <c r="D45" s="1">
        <f>0</f>
        <v>0</v>
      </c>
      <c r="E45" s="1" t="s">
        <v>717</v>
      </c>
      <c r="F45" s="1"/>
      <c r="G45" s="5">
        <f>72.8</f>
        <v>72.8</v>
      </c>
      <c r="H45" s="7">
        <f t="shared" si="0"/>
        <v>0.031755309636078914</v>
      </c>
    </row>
    <row r="46" spans="1:8" ht="14.25" customHeight="1">
      <c r="A46" s="3">
        <f>3</f>
        <v>3</v>
      </c>
      <c r="B46" s="3">
        <f>1</f>
        <v>1</v>
      </c>
      <c r="C46" s="1">
        <f>0</f>
        <v>0</v>
      </c>
      <c r="D46" s="1">
        <f>0</f>
        <v>0</v>
      </c>
      <c r="E46" s="1" t="s">
        <v>979</v>
      </c>
      <c r="F46" s="1"/>
      <c r="G46" s="5">
        <f>451.0417</f>
        <v>451.0417</v>
      </c>
      <c r="H46" s="7">
        <f t="shared" si="0"/>
        <v>0.19674407750389308</v>
      </c>
    </row>
    <row r="47" spans="1:8" ht="14.25" customHeight="1">
      <c r="A47" s="3">
        <f>3</f>
        <v>3</v>
      </c>
      <c r="B47" s="3">
        <f>1</f>
        <v>1</v>
      </c>
      <c r="C47" s="1">
        <f>0</f>
        <v>0</v>
      </c>
      <c r="D47" s="1">
        <f>0</f>
        <v>0</v>
      </c>
      <c r="E47" s="1" t="s">
        <v>1169</v>
      </c>
      <c r="F47" s="1"/>
      <c r="G47" s="5">
        <f>8.4167</f>
        <v>8.4167</v>
      </c>
      <c r="H47" s="7">
        <f t="shared" si="0"/>
        <v>0.0036713587172250745</v>
      </c>
    </row>
    <row r="48" spans="1:8" ht="14.25" customHeight="1">
      <c r="A48" s="3">
        <f>3</f>
        <v>3</v>
      </c>
      <c r="B48" s="3">
        <f>1</f>
        <v>1</v>
      </c>
      <c r="C48" s="1">
        <f>0</f>
        <v>0</v>
      </c>
      <c r="D48" s="1">
        <f>0</f>
        <v>0</v>
      </c>
      <c r="E48" s="1" t="s">
        <v>1141</v>
      </c>
      <c r="F48" s="1"/>
      <c r="G48" s="5">
        <f>382</f>
        <v>382</v>
      </c>
      <c r="H48" s="7">
        <f t="shared" si="0"/>
        <v>0.16662813572777674</v>
      </c>
    </row>
    <row r="49" spans="1:8" ht="14.25" customHeight="1">
      <c r="A49" s="3">
        <f>3</f>
        <v>3</v>
      </c>
      <c r="B49" s="3">
        <f>1</f>
        <v>1</v>
      </c>
      <c r="C49" s="1">
        <f>0</f>
        <v>0</v>
      </c>
      <c r="D49" s="1">
        <f>0</f>
        <v>0</v>
      </c>
      <c r="E49" s="1" t="s">
        <v>1142</v>
      </c>
      <c r="F49" s="1"/>
      <c r="G49" s="5">
        <f>62.125</f>
        <v>62.125</v>
      </c>
      <c r="H49" s="7">
        <f t="shared" si="0"/>
        <v>0.027098882021173113</v>
      </c>
    </row>
    <row r="50" spans="1:8" ht="14.25" customHeight="1">
      <c r="A50" s="3">
        <f>0</f>
        <v>0</v>
      </c>
      <c r="B50" s="3">
        <f>1</f>
        <v>1</v>
      </c>
      <c r="C50" s="1">
        <f>0</f>
        <v>0</v>
      </c>
      <c r="D50" s="1">
        <f>0</f>
        <v>0</v>
      </c>
      <c r="E50" s="1" t="s">
        <v>805</v>
      </c>
      <c r="F50" s="1" t="s">
        <v>63</v>
      </c>
      <c r="G50" s="5">
        <f>124.25</f>
        <v>124.25</v>
      </c>
      <c r="H50" s="7">
        <f t="shared" si="0"/>
        <v>0.054197764042346226</v>
      </c>
    </row>
    <row r="51" spans="1:8" ht="14.25" customHeight="1">
      <c r="A51" s="3">
        <f>0</f>
        <v>0</v>
      </c>
      <c r="B51" s="3">
        <f>1</f>
        <v>1</v>
      </c>
      <c r="C51" s="1">
        <f>0</f>
        <v>0</v>
      </c>
      <c r="D51" s="1">
        <f>0</f>
        <v>0</v>
      </c>
      <c r="E51" s="1" t="s">
        <v>1207</v>
      </c>
      <c r="F51" s="1" t="s">
        <v>910</v>
      </c>
      <c r="G51" s="5">
        <f>295.75</f>
        <v>295.75</v>
      </c>
      <c r="H51" s="7">
        <f t="shared" si="0"/>
        <v>0.1290059453965706</v>
      </c>
    </row>
    <row r="52" spans="1:8" ht="14.25" customHeight="1">
      <c r="A52" s="3">
        <f>0</f>
        <v>0</v>
      </c>
      <c r="B52" s="3">
        <f>1</f>
        <v>1</v>
      </c>
      <c r="C52" s="1">
        <f>0</f>
        <v>0</v>
      </c>
      <c r="D52" s="1">
        <f>0</f>
        <v>0</v>
      </c>
      <c r="E52" s="1" t="s">
        <v>324</v>
      </c>
      <c r="F52" s="1" t="s">
        <v>143</v>
      </c>
      <c r="G52" s="5">
        <f>115.5</f>
        <v>115.5</v>
      </c>
      <c r="H52" s="7">
        <f t="shared" si="0"/>
        <v>0.050381020095702125</v>
      </c>
    </row>
    <row r="53" spans="1:8" ht="14.25" customHeight="1">
      <c r="A53" s="3">
        <f>0</f>
        <v>0</v>
      </c>
      <c r="B53" s="3">
        <f>1</f>
        <v>1</v>
      </c>
      <c r="C53" s="1">
        <f>0</f>
        <v>0</v>
      </c>
      <c r="D53" s="1">
        <f>0</f>
        <v>0</v>
      </c>
      <c r="E53" s="1" t="s">
        <v>496</v>
      </c>
      <c r="F53" s="1" t="s">
        <v>977</v>
      </c>
      <c r="G53" s="5">
        <f>1.5816</f>
        <v>1.5816</v>
      </c>
      <c r="H53" s="7">
        <f t="shared" si="0"/>
        <v>0.0006898928258299782</v>
      </c>
    </row>
    <row r="54" spans="1:8" ht="14.25" customHeight="1">
      <c r="A54" s="3">
        <f>0</f>
        <v>0</v>
      </c>
      <c r="B54" s="3">
        <f>1</f>
        <v>1</v>
      </c>
      <c r="C54" s="1">
        <f>0</f>
        <v>0</v>
      </c>
      <c r="D54" s="1">
        <f>0</f>
        <v>0</v>
      </c>
      <c r="E54" s="1" t="s">
        <v>1183</v>
      </c>
      <c r="F54" s="1" t="s">
        <v>139</v>
      </c>
      <c r="G54" s="5">
        <f>298.1</f>
        <v>298.1</v>
      </c>
      <c r="H54" s="7">
        <f t="shared" si="0"/>
        <v>0.13003101377081216</v>
      </c>
    </row>
    <row r="55" spans="1:8" ht="14.25" customHeight="1">
      <c r="A55" s="3">
        <f>0</f>
        <v>0</v>
      </c>
      <c r="B55" s="3">
        <f>1</f>
        <v>1</v>
      </c>
      <c r="C55" s="1">
        <f>0</f>
        <v>0</v>
      </c>
      <c r="D55" s="1">
        <f>0</f>
        <v>0</v>
      </c>
      <c r="E55" s="1" t="s">
        <v>1206</v>
      </c>
      <c r="F55" s="1" t="s">
        <v>243</v>
      </c>
      <c r="G55" s="5">
        <f>298.1</f>
        <v>298.1</v>
      </c>
      <c r="H55" s="7">
        <f t="shared" si="0"/>
        <v>0.13003101377081216</v>
      </c>
    </row>
    <row r="56" spans="1:8" ht="14.25" customHeight="1">
      <c r="A56" s="3">
        <f>0</f>
        <v>0</v>
      </c>
      <c r="B56" s="3">
        <f>1</f>
        <v>1</v>
      </c>
      <c r="C56" s="1">
        <f>0</f>
        <v>0</v>
      </c>
      <c r="D56" s="1">
        <f>0</f>
        <v>0</v>
      </c>
      <c r="E56" s="1" t="s">
        <v>497</v>
      </c>
      <c r="F56" s="1" t="s">
        <v>160</v>
      </c>
      <c r="G56" s="5">
        <f>105.1488</f>
        <v>105.1488</v>
      </c>
      <c r="H56" s="7">
        <f t="shared" si="0"/>
        <v>0.04586583381678756</v>
      </c>
    </row>
    <row r="57" spans="1:8" ht="14.25" customHeight="1">
      <c r="A57" s="3">
        <f>0</f>
        <v>0</v>
      </c>
      <c r="B57" s="3">
        <f>1</f>
        <v>1</v>
      </c>
      <c r="C57" s="1">
        <f>0</f>
        <v>0</v>
      </c>
      <c r="D57" s="1">
        <f>0</f>
        <v>0</v>
      </c>
      <c r="E57" s="1" t="s">
        <v>460</v>
      </c>
      <c r="F57" s="1" t="s">
        <v>76</v>
      </c>
      <c r="G57" s="5">
        <f>1.2986</f>
        <v>1.2986</v>
      </c>
      <c r="H57" s="7">
        <f t="shared" si="0"/>
        <v>0.0005664484216128033</v>
      </c>
    </row>
    <row r="58" spans="1:8" ht="14.25" customHeight="1">
      <c r="A58" s="3">
        <f>0</f>
        <v>0</v>
      </c>
      <c r="B58" s="3">
        <f>1</f>
        <v>1</v>
      </c>
      <c r="C58" s="1">
        <f>0</f>
        <v>0</v>
      </c>
      <c r="D58" s="1">
        <f>0</f>
        <v>0</v>
      </c>
      <c r="E58" s="1" t="s">
        <v>506</v>
      </c>
      <c r="F58" s="1" t="s">
        <v>1010</v>
      </c>
      <c r="G58" s="5">
        <f>20.6875</f>
        <v>20.6875</v>
      </c>
      <c r="H58" s="7">
        <f t="shared" si="0"/>
        <v>0.009023873188137124</v>
      </c>
    </row>
    <row r="59" spans="1:8" ht="14.25" customHeight="1">
      <c r="A59" s="3">
        <f>3</f>
        <v>3</v>
      </c>
      <c r="B59" s="3">
        <f>1</f>
        <v>1</v>
      </c>
      <c r="C59" s="1">
        <f>0</f>
        <v>0</v>
      </c>
      <c r="D59" s="1">
        <f>0</f>
        <v>0</v>
      </c>
      <c r="E59" s="1" t="s">
        <v>1499</v>
      </c>
      <c r="F59" s="1"/>
      <c r="G59" s="5">
        <f>138.5417</f>
        <v>138.5417</v>
      </c>
      <c r="H59" s="7">
        <f t="shared" si="0"/>
        <v>0.06043179369517519</v>
      </c>
    </row>
    <row r="60" spans="1:8" ht="14.25" customHeight="1">
      <c r="A60" s="3">
        <f>0</f>
        <v>0</v>
      </c>
      <c r="B60" s="3">
        <f>1</f>
        <v>1</v>
      </c>
      <c r="C60" s="1">
        <f>0</f>
        <v>0</v>
      </c>
      <c r="D60" s="1">
        <f>0</f>
        <v>0</v>
      </c>
      <c r="E60" s="1" t="s">
        <v>297</v>
      </c>
      <c r="F60" s="1" t="s">
        <v>1028</v>
      </c>
      <c r="G60" s="5">
        <f>179.5139</f>
        <v>179.5139</v>
      </c>
      <c r="H60" s="7">
        <f t="shared" si="0"/>
        <v>0.07830383899011137</v>
      </c>
    </row>
    <row r="61" spans="1:8" ht="14.25" customHeight="1">
      <c r="A61" s="3">
        <f>3</f>
        <v>3</v>
      </c>
      <c r="B61" s="3">
        <f>1</f>
        <v>1</v>
      </c>
      <c r="C61" s="1">
        <f>0</f>
        <v>0</v>
      </c>
      <c r="D61" s="1">
        <f>0</f>
        <v>0</v>
      </c>
      <c r="E61" s="1" t="s">
        <v>565</v>
      </c>
      <c r="F61" s="1"/>
      <c r="G61" s="5">
        <f>78.5</f>
        <v>78.5</v>
      </c>
      <c r="H61" s="7">
        <f t="shared" si="0"/>
        <v>0.03424164569274993</v>
      </c>
    </row>
    <row r="62" spans="1:8" ht="14.25" customHeight="1">
      <c r="A62" s="3">
        <f>0</f>
        <v>0</v>
      </c>
      <c r="B62" s="3">
        <f>1</f>
        <v>1</v>
      </c>
      <c r="C62" s="1">
        <f>0</f>
        <v>0</v>
      </c>
      <c r="D62" s="1">
        <f>0</f>
        <v>0</v>
      </c>
      <c r="E62" s="1" t="s">
        <v>891</v>
      </c>
      <c r="F62" s="1" t="s">
        <v>1396</v>
      </c>
      <c r="G62" s="5">
        <f>78.5</f>
        <v>78.5</v>
      </c>
      <c r="H62" s="7">
        <f t="shared" si="0"/>
        <v>0.03424164569274993</v>
      </c>
    </row>
    <row r="63" spans="1:8" ht="14.25" customHeight="1">
      <c r="A63" s="3">
        <f>3</f>
        <v>3</v>
      </c>
      <c r="B63" s="3">
        <f>1</f>
        <v>1</v>
      </c>
      <c r="C63" s="1">
        <f>0</f>
        <v>0</v>
      </c>
      <c r="D63" s="1">
        <f>0</f>
        <v>0</v>
      </c>
      <c r="E63" s="1" t="s">
        <v>806</v>
      </c>
      <c r="F63" s="1"/>
      <c r="G63" s="5">
        <f>452.5</f>
        <v>452.5</v>
      </c>
      <c r="H63" s="7">
        <f t="shared" si="0"/>
        <v>0.1973801869550235</v>
      </c>
    </row>
    <row r="64" spans="1:8" ht="14.25" customHeight="1">
      <c r="A64" s="3">
        <f>3</f>
        <v>3</v>
      </c>
      <c r="B64" s="3">
        <f>1</f>
        <v>1</v>
      </c>
      <c r="C64" s="1">
        <f>0</f>
        <v>0</v>
      </c>
      <c r="D64" s="1">
        <f>0</f>
        <v>0</v>
      </c>
      <c r="E64" s="1" t="s">
        <v>553</v>
      </c>
      <c r="F64" s="1"/>
      <c r="G64" s="5">
        <f>53.1042</f>
        <v>53.1042</v>
      </c>
      <c r="H64" s="7">
        <f t="shared" si="0"/>
        <v>0.02316401530187173</v>
      </c>
    </row>
    <row r="65" spans="1:8" ht="14.25" customHeight="1">
      <c r="A65" s="3">
        <f>0</f>
        <v>0</v>
      </c>
      <c r="B65" s="3">
        <f>1</f>
        <v>1</v>
      </c>
      <c r="C65" s="1">
        <f>0</f>
        <v>0</v>
      </c>
      <c r="D65" s="1">
        <f>0</f>
        <v>0</v>
      </c>
      <c r="E65" s="1" t="s">
        <v>807</v>
      </c>
      <c r="F65" s="1" t="s">
        <v>1330</v>
      </c>
      <c r="G65" s="5">
        <f>354.8</f>
        <v>354.8</v>
      </c>
      <c r="H65" s="7">
        <f t="shared" si="0"/>
        <v>0.15476351454506593</v>
      </c>
    </row>
    <row r="66" spans="1:8" ht="14.25" customHeight="1">
      <c r="A66" s="3">
        <f>3</f>
        <v>3</v>
      </c>
      <c r="B66" s="3">
        <f>1</f>
        <v>1</v>
      </c>
      <c r="C66" s="1">
        <f>0</f>
        <v>0</v>
      </c>
      <c r="D66" s="1">
        <f>0</f>
        <v>0</v>
      </c>
      <c r="E66" s="1" t="s">
        <v>718</v>
      </c>
      <c r="F66" s="1"/>
      <c r="G66" s="5">
        <f>39.8</f>
        <v>39.8</v>
      </c>
      <c r="H66" s="7">
        <f aca="true" t="shared" si="1" ref="H66:H129">SUM(100/229253*G$1:G$65536)</f>
        <v>0.01736073246587831</v>
      </c>
    </row>
    <row r="67" spans="1:8" ht="14.25" customHeight="1">
      <c r="A67" s="3">
        <f>3</f>
        <v>3</v>
      </c>
      <c r="B67" s="3">
        <f>1</f>
        <v>1</v>
      </c>
      <c r="C67" s="1">
        <f>0</f>
        <v>0</v>
      </c>
      <c r="D67" s="1">
        <f>0</f>
        <v>0</v>
      </c>
      <c r="E67" s="1" t="s">
        <v>36</v>
      </c>
      <c r="F67" s="1"/>
      <c r="G67" s="5">
        <f>13.25</f>
        <v>13.25</v>
      </c>
      <c r="H67" s="7">
        <f t="shared" si="1"/>
        <v>0.0057796408334896375</v>
      </c>
    </row>
    <row r="68" spans="1:8" ht="14.25" customHeight="1">
      <c r="A68" s="3">
        <f>3</f>
        <v>3</v>
      </c>
      <c r="B68" s="3">
        <f>1</f>
        <v>1</v>
      </c>
      <c r="C68" s="1">
        <f>0</f>
        <v>0</v>
      </c>
      <c r="D68" s="1">
        <f>0</f>
        <v>0</v>
      </c>
      <c r="E68" s="1" t="s">
        <v>913</v>
      </c>
      <c r="F68" s="1"/>
      <c r="G68" s="5">
        <f>30.4792</f>
        <v>30.4792</v>
      </c>
      <c r="H68" s="7">
        <f t="shared" si="1"/>
        <v>0.013295005954120555</v>
      </c>
    </row>
    <row r="69" spans="1:8" ht="14.25" customHeight="1">
      <c r="A69" s="3">
        <f>3</f>
        <v>3</v>
      </c>
      <c r="B69" s="3">
        <f>1</f>
        <v>1</v>
      </c>
      <c r="C69" s="1">
        <f>0</f>
        <v>0</v>
      </c>
      <c r="D69" s="1">
        <f>0</f>
        <v>0</v>
      </c>
      <c r="E69" s="1" t="s">
        <v>1537</v>
      </c>
      <c r="F69" s="1"/>
      <c r="G69" s="5">
        <f>3.9167</f>
        <v>3.9167</v>
      </c>
      <c r="H69" s="7">
        <f t="shared" si="1"/>
        <v>0.001708461830379537</v>
      </c>
    </row>
    <row r="70" spans="1:8" ht="14.25" customHeight="1">
      <c r="A70" s="3">
        <f>3</f>
        <v>3</v>
      </c>
      <c r="B70" s="3">
        <f>1</f>
        <v>1</v>
      </c>
      <c r="C70" s="1">
        <f>0</f>
        <v>0</v>
      </c>
      <c r="D70" s="1">
        <f>0</f>
        <v>0</v>
      </c>
      <c r="E70" s="1" t="s">
        <v>1494</v>
      </c>
      <c r="F70" s="1"/>
      <c r="G70" s="5">
        <f>0.9375</f>
        <v>0.9375</v>
      </c>
      <c r="H70" s="7">
        <f t="shared" si="1"/>
        <v>0.00040893685142615364</v>
      </c>
    </row>
    <row r="71" spans="1:8" ht="14.25" customHeight="1">
      <c r="A71" s="3">
        <f>3</f>
        <v>3</v>
      </c>
      <c r="B71" s="3">
        <f>1</f>
        <v>1</v>
      </c>
      <c r="C71" s="1">
        <f>0</f>
        <v>0</v>
      </c>
      <c r="D71" s="1">
        <f>0</f>
        <v>0</v>
      </c>
      <c r="E71" s="1" t="s">
        <v>558</v>
      </c>
      <c r="F71" s="1"/>
      <c r="G71" s="5">
        <f>48.5917</f>
        <v>48.5917</v>
      </c>
      <c r="H71" s="7">
        <f t="shared" si="1"/>
        <v>0.021195665923673845</v>
      </c>
    </row>
    <row r="72" spans="1:8" ht="14.25" customHeight="1">
      <c r="A72" s="3">
        <f>3</f>
        <v>3</v>
      </c>
      <c r="B72" s="3">
        <f>1</f>
        <v>1</v>
      </c>
      <c r="C72" s="1">
        <f>0</f>
        <v>0</v>
      </c>
      <c r="D72" s="1">
        <f>0</f>
        <v>0</v>
      </c>
      <c r="E72" s="1" t="s">
        <v>577</v>
      </c>
      <c r="F72" s="1"/>
      <c r="G72" s="5">
        <f>48.5917</f>
        <v>48.5917</v>
      </c>
      <c r="H72" s="7">
        <f t="shared" si="1"/>
        <v>0.021195665923673845</v>
      </c>
    </row>
    <row r="73" spans="1:8" ht="14.25" customHeight="1">
      <c r="A73" s="3">
        <f>3</f>
        <v>3</v>
      </c>
      <c r="B73" s="3">
        <f>1</f>
        <v>1</v>
      </c>
      <c r="C73" s="1">
        <f>0</f>
        <v>0</v>
      </c>
      <c r="D73" s="1">
        <f>0</f>
        <v>0</v>
      </c>
      <c r="E73" s="1" t="s">
        <v>566</v>
      </c>
      <c r="F73" s="1"/>
      <c r="G73" s="5">
        <f>134.0417</f>
        <v>134.0417</v>
      </c>
      <c r="H73" s="7">
        <f t="shared" si="1"/>
        <v>0.05846889680832966</v>
      </c>
    </row>
    <row r="74" spans="1:8" ht="14.25" customHeight="1">
      <c r="A74" s="3">
        <f>3</f>
        <v>3</v>
      </c>
      <c r="B74" s="3">
        <f>1</f>
        <v>1</v>
      </c>
      <c r="C74" s="1">
        <f>0</f>
        <v>0</v>
      </c>
      <c r="D74" s="1">
        <f>0</f>
        <v>0</v>
      </c>
      <c r="E74" s="1" t="s">
        <v>552</v>
      </c>
      <c r="F74" s="1"/>
      <c r="G74" s="5">
        <f>339.8542</f>
        <v>339.8542</v>
      </c>
      <c r="H74" s="7">
        <f t="shared" si="1"/>
        <v>0.14824416692475126</v>
      </c>
    </row>
    <row r="75" spans="1:8" ht="14.25" customHeight="1">
      <c r="A75" s="3">
        <f>3</f>
        <v>3</v>
      </c>
      <c r="B75" s="3">
        <f>1</f>
        <v>1</v>
      </c>
      <c r="C75" s="1">
        <f>0</f>
        <v>0</v>
      </c>
      <c r="D75" s="1">
        <f>0</f>
        <v>0</v>
      </c>
      <c r="E75" s="1" t="s">
        <v>607</v>
      </c>
      <c r="F75" s="1"/>
      <c r="G75" s="5">
        <f>48.5917</f>
        <v>48.5917</v>
      </c>
      <c r="H75" s="7">
        <f t="shared" si="1"/>
        <v>0.021195665923673845</v>
      </c>
    </row>
    <row r="76" spans="1:8" ht="14.25" customHeight="1">
      <c r="A76" s="3">
        <f>3</f>
        <v>3</v>
      </c>
      <c r="B76" s="3">
        <f>1</f>
        <v>1</v>
      </c>
      <c r="C76" s="1">
        <f>0</f>
        <v>0</v>
      </c>
      <c r="D76" s="1">
        <f>0</f>
        <v>0</v>
      </c>
      <c r="E76" s="1" t="s">
        <v>740</v>
      </c>
      <c r="F76" s="1"/>
      <c r="G76" s="5">
        <f>15.2083</f>
        <v>15.2083</v>
      </c>
      <c r="H76" s="7">
        <f t="shared" si="1"/>
        <v>0.006633849938713997</v>
      </c>
    </row>
    <row r="77" spans="1:8" ht="14.25" customHeight="1">
      <c r="A77" s="3">
        <f>3</f>
        <v>3</v>
      </c>
      <c r="B77" s="3">
        <f>1</f>
        <v>1</v>
      </c>
      <c r="C77" s="1">
        <f>0</f>
        <v>0</v>
      </c>
      <c r="D77" s="1">
        <f>0</f>
        <v>0</v>
      </c>
      <c r="E77" s="1" t="s">
        <v>628</v>
      </c>
      <c r="F77" s="1"/>
      <c r="G77" s="5">
        <f>48.5917</f>
        <v>48.5917</v>
      </c>
      <c r="H77" s="7">
        <f t="shared" si="1"/>
        <v>0.021195665923673845</v>
      </c>
    </row>
    <row r="78" spans="1:8" ht="14.25" customHeight="1">
      <c r="A78" s="3">
        <f>3</f>
        <v>3</v>
      </c>
      <c r="B78" s="3">
        <f>1</f>
        <v>1</v>
      </c>
      <c r="C78" s="1">
        <f>0</f>
        <v>0</v>
      </c>
      <c r="D78" s="1">
        <f>0</f>
        <v>0</v>
      </c>
      <c r="E78" s="1" t="s">
        <v>629</v>
      </c>
      <c r="F78" s="1"/>
      <c r="G78" s="5">
        <f>337</f>
        <v>337</v>
      </c>
      <c r="H78" s="7">
        <f t="shared" si="1"/>
        <v>0.14699916685932135</v>
      </c>
    </row>
    <row r="79" spans="1:8" ht="14.25" customHeight="1">
      <c r="A79" s="3">
        <f>3</f>
        <v>3</v>
      </c>
      <c r="B79" s="3">
        <f>1</f>
        <v>1</v>
      </c>
      <c r="C79" s="1">
        <f>0</f>
        <v>0</v>
      </c>
      <c r="D79" s="1">
        <f>0</f>
        <v>0</v>
      </c>
      <c r="E79" s="1" t="s">
        <v>578</v>
      </c>
      <c r="F79" s="1"/>
      <c r="G79" s="5">
        <f>48.5917</f>
        <v>48.5917</v>
      </c>
      <c r="H79" s="7">
        <f t="shared" si="1"/>
        <v>0.021195665923673845</v>
      </c>
    </row>
    <row r="80" spans="1:8" ht="14.25" customHeight="1">
      <c r="A80" s="3">
        <f>3</f>
        <v>3</v>
      </c>
      <c r="B80" s="3">
        <f>1</f>
        <v>1</v>
      </c>
      <c r="C80" s="1">
        <f>0</f>
        <v>0</v>
      </c>
      <c r="D80" s="1">
        <f>0</f>
        <v>0</v>
      </c>
      <c r="E80" s="1" t="s">
        <v>788</v>
      </c>
      <c r="F80" s="1"/>
      <c r="G80" s="5">
        <f>337</f>
        <v>337</v>
      </c>
      <c r="H80" s="7">
        <f t="shared" si="1"/>
        <v>0.14699916685932135</v>
      </c>
    </row>
    <row r="81" spans="1:8" ht="14.25" customHeight="1">
      <c r="A81" s="3">
        <f>0</f>
        <v>0</v>
      </c>
      <c r="B81" s="3">
        <f>1</f>
        <v>1</v>
      </c>
      <c r="C81" s="1">
        <f>0</f>
        <v>0</v>
      </c>
      <c r="D81" s="1">
        <f>0</f>
        <v>0</v>
      </c>
      <c r="E81" s="1" t="s">
        <v>1184</v>
      </c>
      <c r="F81" s="1" t="s">
        <v>244</v>
      </c>
      <c r="G81" s="5">
        <f>649</f>
        <v>649</v>
      </c>
      <c r="H81" s="7">
        <f t="shared" si="1"/>
        <v>0.2830933510139453</v>
      </c>
    </row>
    <row r="82" spans="1:8" ht="14.25" customHeight="1">
      <c r="A82" s="3">
        <f>3</f>
        <v>3</v>
      </c>
      <c r="B82" s="3">
        <f>1</f>
        <v>1</v>
      </c>
      <c r="C82" s="1">
        <f>0</f>
        <v>0</v>
      </c>
      <c r="D82" s="1">
        <f>0</f>
        <v>0</v>
      </c>
      <c r="E82" s="1" t="s">
        <v>166</v>
      </c>
      <c r="F82" s="1"/>
      <c r="G82" s="5">
        <f>6.7</f>
        <v>6.7</v>
      </c>
      <c r="H82" s="7">
        <f t="shared" si="1"/>
        <v>0.0029225353648589113</v>
      </c>
    </row>
    <row r="83" spans="1:8" ht="14.25" customHeight="1">
      <c r="A83" s="3">
        <f>3</f>
        <v>3</v>
      </c>
      <c r="B83" s="3">
        <f>1</f>
        <v>1</v>
      </c>
      <c r="C83" s="1">
        <f>0</f>
        <v>0</v>
      </c>
      <c r="D83" s="1">
        <f>0</f>
        <v>0</v>
      </c>
      <c r="E83" s="1" t="s">
        <v>213</v>
      </c>
      <c r="F83" s="1"/>
      <c r="G83" s="5">
        <f>161.8333</f>
        <v>161.8333</v>
      </c>
      <c r="H83" s="7">
        <f t="shared" si="1"/>
        <v>0.07059157350176443</v>
      </c>
    </row>
    <row r="84" spans="1:8" ht="14.25" customHeight="1">
      <c r="A84" s="3">
        <f>3</f>
        <v>3</v>
      </c>
      <c r="B84" s="3">
        <f>1</f>
        <v>1</v>
      </c>
      <c r="C84" s="1">
        <f>0</f>
        <v>0</v>
      </c>
      <c r="D84" s="1">
        <f>0</f>
        <v>0</v>
      </c>
      <c r="E84" s="1" t="s">
        <v>477</v>
      </c>
      <c r="F84" s="1"/>
      <c r="G84" s="5">
        <f>666.1458</f>
        <v>666.1458</v>
      </c>
      <c r="H84" s="7">
        <f t="shared" si="1"/>
        <v>0.2905723371122733</v>
      </c>
    </row>
    <row r="85" spans="1:8" ht="14.25" customHeight="1">
      <c r="A85" s="3">
        <f>3</f>
        <v>3</v>
      </c>
      <c r="B85" s="3">
        <f>1</f>
        <v>1</v>
      </c>
      <c r="C85" s="1">
        <f>0</f>
        <v>0</v>
      </c>
      <c r="D85" s="1">
        <f>0</f>
        <v>0</v>
      </c>
      <c r="E85" s="1" t="s">
        <v>953</v>
      </c>
      <c r="F85" s="1"/>
      <c r="G85" s="5">
        <f>165</f>
        <v>165</v>
      </c>
      <c r="H85" s="7">
        <f t="shared" si="1"/>
        <v>0.07197288585100303</v>
      </c>
    </row>
    <row r="86" spans="1:8" ht="14.25" customHeight="1">
      <c r="A86" s="3">
        <f>3</f>
        <v>3</v>
      </c>
      <c r="B86" s="3">
        <f>1</f>
        <v>1</v>
      </c>
      <c r="C86" s="1">
        <f>0</f>
        <v>0</v>
      </c>
      <c r="D86" s="1">
        <f>0</f>
        <v>0</v>
      </c>
      <c r="E86" s="1" t="s">
        <v>1495</v>
      </c>
      <c r="F86" s="1"/>
      <c r="G86" s="5">
        <f>268.875</f>
        <v>268.875</v>
      </c>
      <c r="H86" s="7">
        <f t="shared" si="1"/>
        <v>0.11728308898902086</v>
      </c>
    </row>
    <row r="87" spans="1:8" ht="14.25" customHeight="1">
      <c r="A87" s="3">
        <f>3</f>
        <v>3</v>
      </c>
      <c r="B87" s="3">
        <f>1</f>
        <v>1</v>
      </c>
      <c r="C87" s="1">
        <f>0</f>
        <v>0</v>
      </c>
      <c r="D87" s="1">
        <f>0</f>
        <v>0</v>
      </c>
      <c r="E87" s="1" t="s">
        <v>567</v>
      </c>
      <c r="F87" s="1"/>
      <c r="G87" s="5">
        <f>150.7731</f>
        <v>150.7731</v>
      </c>
      <c r="H87" s="7">
        <f t="shared" si="1"/>
        <v>0.06576712191334465</v>
      </c>
    </row>
    <row r="88" spans="1:8" ht="14.25" customHeight="1">
      <c r="A88" s="3">
        <f>0</f>
        <v>0</v>
      </c>
      <c r="B88" s="3">
        <f>1</f>
        <v>1</v>
      </c>
      <c r="C88" s="1">
        <f>0</f>
        <v>0</v>
      </c>
      <c r="D88" s="1">
        <f>0</f>
        <v>0</v>
      </c>
      <c r="E88" s="1" t="s">
        <v>1143</v>
      </c>
      <c r="F88" s="1" t="s">
        <v>380</v>
      </c>
      <c r="G88" s="5">
        <f>1156.6306</f>
        <v>1156.6306</v>
      </c>
      <c r="H88" s="7">
        <f t="shared" si="1"/>
        <v>0.5045214675489524</v>
      </c>
    </row>
    <row r="89" spans="1:8" ht="14.25" customHeight="1">
      <c r="A89" s="3">
        <f>3</f>
        <v>3</v>
      </c>
      <c r="B89" s="3">
        <f>1</f>
        <v>1</v>
      </c>
      <c r="C89" s="1">
        <f>0</f>
        <v>0</v>
      </c>
      <c r="D89" s="1">
        <f>0</f>
        <v>0</v>
      </c>
      <c r="E89" s="1" t="s">
        <v>608</v>
      </c>
      <c r="F89" s="1"/>
      <c r="G89" s="5">
        <f>44.5764</f>
        <v>44.5764</v>
      </c>
      <c r="H89" s="7">
        <f t="shared" si="1"/>
        <v>0.01944419484150698</v>
      </c>
    </row>
    <row r="90" spans="1:8" ht="14.25" customHeight="1">
      <c r="A90" s="3">
        <f>3</f>
        <v>3</v>
      </c>
      <c r="B90" s="3">
        <f>1</f>
        <v>1</v>
      </c>
      <c r="C90" s="1">
        <f>0</f>
        <v>0</v>
      </c>
      <c r="D90" s="1">
        <f>0</f>
        <v>0</v>
      </c>
      <c r="E90" s="1" t="s">
        <v>914</v>
      </c>
      <c r="F90" s="1"/>
      <c r="G90" s="5">
        <f>172.125</f>
        <v>172.125</v>
      </c>
      <c r="H90" s="7">
        <f t="shared" si="1"/>
        <v>0.07508080592184181</v>
      </c>
    </row>
    <row r="91" spans="1:8" ht="14.25" customHeight="1">
      <c r="A91" s="3">
        <f>3</f>
        <v>3</v>
      </c>
      <c r="B91" s="3">
        <f>1</f>
        <v>1</v>
      </c>
      <c r="C91" s="1">
        <f>0</f>
        <v>0</v>
      </c>
      <c r="D91" s="1">
        <f>0</f>
        <v>0</v>
      </c>
      <c r="E91" s="1" t="s">
        <v>774</v>
      </c>
      <c r="F91" s="1"/>
      <c r="G91" s="5">
        <f>1.1667</f>
        <v>1.1667</v>
      </c>
      <c r="H91" s="7">
        <f t="shared" si="1"/>
        <v>0.0005089137328628197</v>
      </c>
    </row>
    <row r="92" spans="1:8" ht="14.25" customHeight="1">
      <c r="A92" s="3">
        <f>0</f>
        <v>0</v>
      </c>
      <c r="B92" s="3">
        <f>1</f>
        <v>1</v>
      </c>
      <c r="C92" s="1">
        <f>0</f>
        <v>0</v>
      </c>
      <c r="D92" s="1">
        <f>0</f>
        <v>0</v>
      </c>
      <c r="E92" s="1" t="s">
        <v>1357</v>
      </c>
      <c r="F92" s="1" t="s">
        <v>1153</v>
      </c>
      <c r="G92" s="5">
        <f>44.6667</f>
        <v>44.6667</v>
      </c>
      <c r="H92" s="7">
        <f t="shared" si="1"/>
        <v>0.019483583639036347</v>
      </c>
    </row>
    <row r="93" spans="1:8" ht="14.25" customHeight="1">
      <c r="A93" s="3">
        <f>3</f>
        <v>3</v>
      </c>
      <c r="B93" s="3">
        <f>1</f>
        <v>1</v>
      </c>
      <c r="C93" s="1">
        <f>0</f>
        <v>0</v>
      </c>
      <c r="D93" s="1">
        <f>0</f>
        <v>0</v>
      </c>
      <c r="E93" s="1" t="s">
        <v>37</v>
      </c>
      <c r="F93" s="1"/>
      <c r="G93" s="5">
        <f>65.625</f>
        <v>65.625</v>
      </c>
      <c r="H93" s="7">
        <f t="shared" si="1"/>
        <v>0.028625579599830753</v>
      </c>
    </row>
    <row r="94" spans="1:8" ht="14.25" customHeight="1">
      <c r="A94" s="3">
        <f>3</f>
        <v>3</v>
      </c>
      <c r="B94" s="3">
        <f>1</f>
        <v>1</v>
      </c>
      <c r="C94" s="1">
        <f>0</f>
        <v>0</v>
      </c>
      <c r="D94" s="1">
        <f>0</f>
        <v>0</v>
      </c>
      <c r="E94" s="1" t="s">
        <v>1271</v>
      </c>
      <c r="F94" s="1"/>
      <c r="G94" s="5">
        <f>1.1667</f>
        <v>1.1667</v>
      </c>
      <c r="H94" s="7">
        <f t="shared" si="1"/>
        <v>0.0005089137328628197</v>
      </c>
    </row>
    <row r="95" spans="1:8" ht="14.25" customHeight="1">
      <c r="A95" s="3">
        <f>3</f>
        <v>3</v>
      </c>
      <c r="B95" s="3">
        <f>1</f>
        <v>1</v>
      </c>
      <c r="C95" s="1">
        <f>0</f>
        <v>0</v>
      </c>
      <c r="D95" s="1">
        <f>0</f>
        <v>0</v>
      </c>
      <c r="E95" s="1" t="s">
        <v>987</v>
      </c>
      <c r="F95" s="1"/>
      <c r="G95" s="5">
        <f>121.3333</f>
        <v>121.3333</v>
      </c>
      <c r="H95" s="7">
        <f t="shared" si="1"/>
        <v>0.052925501520154586</v>
      </c>
    </row>
    <row r="96" spans="1:8" ht="14.25" customHeight="1">
      <c r="A96" s="3">
        <f>0</f>
        <v>0</v>
      </c>
      <c r="B96" s="3">
        <f>1</f>
        <v>1</v>
      </c>
      <c r="C96" s="1">
        <f>0</f>
        <v>0</v>
      </c>
      <c r="D96" s="1">
        <f>0</f>
        <v>0</v>
      </c>
      <c r="E96" s="1" t="s">
        <v>1496</v>
      </c>
      <c r="F96" s="1" t="s">
        <v>1385</v>
      </c>
      <c r="G96" s="5">
        <f>424.1333</f>
        <v>424.1333</v>
      </c>
      <c r="H96" s="7">
        <f t="shared" si="1"/>
        <v>0.18500665203944988</v>
      </c>
    </row>
    <row r="97" spans="1:8" ht="14.25" customHeight="1">
      <c r="A97" s="3">
        <f>0</f>
        <v>0</v>
      </c>
      <c r="B97" s="3">
        <f>1</f>
        <v>1</v>
      </c>
      <c r="C97" s="1">
        <f>0</f>
        <v>0</v>
      </c>
      <c r="D97" s="1">
        <f>0</f>
        <v>0</v>
      </c>
      <c r="E97" s="1" t="s">
        <v>1451</v>
      </c>
      <c r="F97" s="1" t="s">
        <v>804</v>
      </c>
      <c r="G97" s="5">
        <f>63.8625</f>
        <v>63.8625</v>
      </c>
      <c r="H97" s="7">
        <f t="shared" si="1"/>
        <v>0.027856778319149584</v>
      </c>
    </row>
    <row r="98" spans="1:8" ht="14.25" customHeight="1">
      <c r="A98" s="3">
        <f>0</f>
        <v>0</v>
      </c>
      <c r="B98" s="3">
        <f>1</f>
        <v>1</v>
      </c>
      <c r="C98" s="1">
        <f>0</f>
        <v>0</v>
      </c>
      <c r="D98" s="1">
        <f>0</f>
        <v>0</v>
      </c>
      <c r="E98" s="1" t="s">
        <v>1497</v>
      </c>
      <c r="F98" s="1" t="s">
        <v>555</v>
      </c>
      <c r="G98" s="5">
        <f>30.4583</f>
        <v>30.4583</v>
      </c>
      <c r="H98" s="7">
        <f t="shared" si="1"/>
        <v>0.01328588938857943</v>
      </c>
    </row>
    <row r="99" spans="1:8" ht="14.25" customHeight="1">
      <c r="A99" s="3">
        <f>0</f>
        <v>0</v>
      </c>
      <c r="B99" s="3">
        <f>1</f>
        <v>1</v>
      </c>
      <c r="C99" s="1">
        <f>0</f>
        <v>0</v>
      </c>
      <c r="D99" s="1">
        <f>0</f>
        <v>0</v>
      </c>
      <c r="E99" s="1" t="s">
        <v>414</v>
      </c>
      <c r="F99" s="1" t="s">
        <v>758</v>
      </c>
      <c r="G99" s="5">
        <f>4.3625</f>
        <v>4.3625</v>
      </c>
      <c r="H99" s="7">
        <f t="shared" si="1"/>
        <v>0.0019029194819697014</v>
      </c>
    </row>
    <row r="100" spans="1:8" ht="14.25" customHeight="1">
      <c r="A100" s="3">
        <f>3</f>
        <v>3</v>
      </c>
      <c r="B100" s="3">
        <f>1</f>
        <v>1</v>
      </c>
      <c r="C100" s="1">
        <f>0</f>
        <v>0</v>
      </c>
      <c r="D100" s="1">
        <f>0</f>
        <v>0</v>
      </c>
      <c r="E100" s="1" t="s">
        <v>1452</v>
      </c>
      <c r="F100" s="1"/>
      <c r="G100" s="5">
        <f>2.5833</f>
        <v>2.5833</v>
      </c>
      <c r="H100" s="7">
        <f t="shared" si="1"/>
        <v>0.001126833672841795</v>
      </c>
    </row>
    <row r="101" spans="1:8" ht="14.25" customHeight="1">
      <c r="A101" s="3">
        <f>0</f>
        <v>0</v>
      </c>
      <c r="B101" s="3">
        <f>1</f>
        <v>1</v>
      </c>
      <c r="C101" s="1">
        <f>0</f>
        <v>0</v>
      </c>
      <c r="D101" s="1">
        <f>0</f>
        <v>0</v>
      </c>
      <c r="E101" s="1" t="s">
        <v>356</v>
      </c>
      <c r="F101" s="1" t="s">
        <v>267</v>
      </c>
      <c r="G101" s="5">
        <f>86.8333</f>
        <v>86.8333</v>
      </c>
      <c r="H101" s="7">
        <f t="shared" si="1"/>
        <v>0.037876625387672135</v>
      </c>
    </row>
    <row r="102" spans="1:8" ht="14.25" customHeight="1">
      <c r="A102" s="3">
        <f>3</f>
        <v>3</v>
      </c>
      <c r="B102" s="3">
        <f>1</f>
        <v>1</v>
      </c>
      <c r="C102" s="1">
        <f>0</f>
        <v>0</v>
      </c>
      <c r="D102" s="1">
        <f>0</f>
        <v>0</v>
      </c>
      <c r="E102" s="1" t="s">
        <v>167</v>
      </c>
      <c r="F102" s="1"/>
      <c r="G102" s="5">
        <f>50.8</f>
        <v>50.8</v>
      </c>
      <c r="H102" s="7">
        <f t="shared" si="1"/>
        <v>0.022158924855945176</v>
      </c>
    </row>
    <row r="103" spans="1:8" ht="14.25" customHeight="1">
      <c r="A103" s="3">
        <f>3</f>
        <v>3</v>
      </c>
      <c r="B103" s="3">
        <f>1</f>
        <v>1</v>
      </c>
      <c r="C103" s="1">
        <f>0</f>
        <v>0</v>
      </c>
      <c r="D103" s="1">
        <f>0</f>
        <v>0</v>
      </c>
      <c r="E103" s="1" t="s">
        <v>1498</v>
      </c>
      <c r="F103" s="1"/>
      <c r="G103" s="5">
        <f>265.6667</f>
        <v>265.6667</v>
      </c>
      <c r="H103" s="7">
        <f t="shared" si="1"/>
        <v>0.11588363074856163</v>
      </c>
    </row>
    <row r="104" spans="1:8" ht="14.25" customHeight="1">
      <c r="A104" s="3">
        <f>3</f>
        <v>3</v>
      </c>
      <c r="B104" s="3">
        <f>1</f>
        <v>1</v>
      </c>
      <c r="C104" s="1">
        <f>0</f>
        <v>0</v>
      </c>
      <c r="D104" s="1">
        <f>0</f>
        <v>0</v>
      </c>
      <c r="E104" s="1" t="s">
        <v>1538</v>
      </c>
      <c r="F104" s="1"/>
      <c r="G104" s="5">
        <f>6.7</f>
        <v>6.7</v>
      </c>
      <c r="H104" s="7">
        <f t="shared" si="1"/>
        <v>0.0029225353648589113</v>
      </c>
    </row>
    <row r="105" spans="1:8" ht="14.25" customHeight="1">
      <c r="A105" s="3">
        <f>3</f>
        <v>3</v>
      </c>
      <c r="B105" s="3">
        <f>1</f>
        <v>1</v>
      </c>
      <c r="C105" s="1">
        <f>0</f>
        <v>0</v>
      </c>
      <c r="D105" s="1">
        <f>0</f>
        <v>0</v>
      </c>
      <c r="E105" s="1" t="s">
        <v>1539</v>
      </c>
      <c r="F105" s="1"/>
      <c r="G105" s="5">
        <f>920.4</f>
        <v>920.4</v>
      </c>
      <c r="H105" s="7">
        <f t="shared" si="1"/>
        <v>0.40147784325614055</v>
      </c>
    </row>
    <row r="106" spans="1:8" ht="14.25" customHeight="1">
      <c r="A106" s="3">
        <f>3</f>
        <v>3</v>
      </c>
      <c r="B106" s="3">
        <f>1</f>
        <v>1</v>
      </c>
      <c r="C106" s="1">
        <f>0</f>
        <v>0</v>
      </c>
      <c r="D106" s="1">
        <f>0</f>
        <v>0</v>
      </c>
      <c r="E106" s="1" t="s">
        <v>248</v>
      </c>
      <c r="F106" s="1"/>
      <c r="G106" s="5">
        <f>19.9167</f>
        <v>19.9167</v>
      </c>
      <c r="H106" s="7">
        <f t="shared" si="1"/>
        <v>0.008687650761385892</v>
      </c>
    </row>
    <row r="107" spans="1:8" ht="14.25" customHeight="1">
      <c r="A107" s="3">
        <f>3</f>
        <v>3</v>
      </c>
      <c r="B107" s="3">
        <f>1</f>
        <v>1</v>
      </c>
      <c r="C107" s="1">
        <f>0</f>
        <v>0</v>
      </c>
      <c r="D107" s="1">
        <f>0</f>
        <v>0</v>
      </c>
      <c r="E107" s="1" t="s">
        <v>95</v>
      </c>
      <c r="F107" s="1"/>
      <c r="G107" s="5">
        <f>12.1625</f>
        <v>12.1625</v>
      </c>
      <c r="H107" s="7">
        <f t="shared" si="1"/>
        <v>0.005305274085835299</v>
      </c>
    </row>
    <row r="108" spans="1:8" ht="14.25" customHeight="1">
      <c r="A108" s="3">
        <f>3</f>
        <v>3</v>
      </c>
      <c r="B108" s="3">
        <f>1</f>
        <v>1</v>
      </c>
      <c r="C108" s="1">
        <f>0</f>
        <v>0</v>
      </c>
      <c r="D108" s="1">
        <f>0</f>
        <v>0</v>
      </c>
      <c r="E108" s="1" t="s">
        <v>385</v>
      </c>
      <c r="F108" s="1"/>
      <c r="G108" s="5">
        <f>12.1625</f>
        <v>12.1625</v>
      </c>
      <c r="H108" s="7">
        <f t="shared" si="1"/>
        <v>0.005305274085835299</v>
      </c>
    </row>
    <row r="109" spans="1:8" ht="14.25" customHeight="1">
      <c r="A109" s="3">
        <f>0</f>
        <v>0</v>
      </c>
      <c r="B109" s="3">
        <f>1</f>
        <v>1</v>
      </c>
      <c r="C109" s="1">
        <f>0</f>
        <v>0</v>
      </c>
      <c r="D109" s="1">
        <f>0</f>
        <v>0</v>
      </c>
      <c r="E109" s="1" t="s">
        <v>1105</v>
      </c>
      <c r="F109" s="1" t="s">
        <v>402</v>
      </c>
      <c r="G109" s="5">
        <f>2.6</f>
        <v>2.6</v>
      </c>
      <c r="H109" s="7">
        <f t="shared" si="1"/>
        <v>0.0011341182012885329</v>
      </c>
    </row>
    <row r="110" spans="1:8" ht="14.25" customHeight="1">
      <c r="A110" s="3">
        <f>0</f>
        <v>0</v>
      </c>
      <c r="B110" s="3">
        <f>1</f>
        <v>1</v>
      </c>
      <c r="C110" s="1">
        <f>0</f>
        <v>0</v>
      </c>
      <c r="D110" s="1">
        <f>0</f>
        <v>0</v>
      </c>
      <c r="E110" s="1" t="s">
        <v>1522</v>
      </c>
      <c r="F110" s="1" t="s">
        <v>270</v>
      </c>
      <c r="G110" s="5">
        <f>174</f>
        <v>174</v>
      </c>
      <c r="H110" s="7">
        <f t="shared" si="1"/>
        <v>0.07589867962469411</v>
      </c>
    </row>
    <row r="111" spans="1:8" ht="14.25" customHeight="1">
      <c r="A111" s="3">
        <f>3</f>
        <v>3</v>
      </c>
      <c r="B111" s="3">
        <f>1</f>
        <v>1</v>
      </c>
      <c r="C111" s="1">
        <f>0</f>
        <v>0</v>
      </c>
      <c r="D111" s="1">
        <f>0</f>
        <v>0</v>
      </c>
      <c r="E111" s="1" t="s">
        <v>1082</v>
      </c>
      <c r="F111" s="1"/>
      <c r="G111" s="5">
        <f>300</f>
        <v>300</v>
      </c>
      <c r="H111" s="7">
        <f t="shared" si="1"/>
        <v>0.13085979245636917</v>
      </c>
    </row>
    <row r="112" spans="1:8" ht="14.25" customHeight="1">
      <c r="A112" s="3">
        <f>0</f>
        <v>0</v>
      </c>
      <c r="B112" s="3">
        <f>1</f>
        <v>1</v>
      </c>
      <c r="C112" s="1">
        <f>0</f>
        <v>0</v>
      </c>
      <c r="D112" s="1">
        <f>0</f>
        <v>0</v>
      </c>
      <c r="E112" s="1" t="s">
        <v>1501</v>
      </c>
      <c r="F112" s="1" t="s">
        <v>1063</v>
      </c>
      <c r="G112" s="5">
        <f>115.8333</f>
        <v>115.8333</v>
      </c>
      <c r="H112" s="7">
        <f t="shared" si="1"/>
        <v>0.05052640532512115</v>
      </c>
    </row>
    <row r="113" spans="1:8" ht="14.25" customHeight="1">
      <c r="A113" s="3">
        <f>3</f>
        <v>3</v>
      </c>
      <c r="B113" s="3">
        <f>1</f>
        <v>1</v>
      </c>
      <c r="C113" s="1">
        <f>0</f>
        <v>0</v>
      </c>
      <c r="D113" s="1">
        <f>0</f>
        <v>0</v>
      </c>
      <c r="E113" s="1" t="s">
        <v>416</v>
      </c>
      <c r="F113" s="1"/>
      <c r="G113" s="5">
        <f>1.3</f>
        <v>1.3</v>
      </c>
      <c r="H113" s="7">
        <f t="shared" si="1"/>
        <v>0.0005670591006442664</v>
      </c>
    </row>
    <row r="114" spans="1:8" ht="14.25" customHeight="1">
      <c r="A114" s="3">
        <f>0</f>
        <v>0</v>
      </c>
      <c r="B114" s="3">
        <f>1</f>
        <v>1</v>
      </c>
      <c r="C114" s="1">
        <f>0</f>
        <v>0</v>
      </c>
      <c r="D114" s="1">
        <f>0</f>
        <v>0</v>
      </c>
      <c r="E114" s="1" t="s">
        <v>462</v>
      </c>
      <c r="F114" s="1" t="s">
        <v>1331</v>
      </c>
      <c r="G114" s="5">
        <f>23.1667</f>
        <v>23.1667</v>
      </c>
      <c r="H114" s="7">
        <f t="shared" si="1"/>
        <v>0.010105298512996557</v>
      </c>
    </row>
    <row r="115" spans="1:8" ht="14.25" customHeight="1">
      <c r="A115" s="3">
        <f>3</f>
        <v>3</v>
      </c>
      <c r="B115" s="3">
        <f>1</f>
        <v>1</v>
      </c>
      <c r="C115" s="1">
        <f>0</f>
        <v>0</v>
      </c>
      <c r="D115" s="1">
        <f>0</f>
        <v>0</v>
      </c>
      <c r="E115" s="1" t="s">
        <v>1030</v>
      </c>
      <c r="F115" s="1"/>
      <c r="G115" s="5">
        <f>29.9375</f>
        <v>29.9375</v>
      </c>
      <c r="H115" s="7">
        <f t="shared" si="1"/>
        <v>0.013058716788875173</v>
      </c>
    </row>
    <row r="116" spans="1:8" ht="14.25" customHeight="1">
      <c r="A116" s="3">
        <f>0</f>
        <v>0</v>
      </c>
      <c r="B116" s="3">
        <f>1</f>
        <v>1</v>
      </c>
      <c r="C116" s="1">
        <f>0</f>
        <v>0</v>
      </c>
      <c r="D116" s="1">
        <f>0</f>
        <v>0</v>
      </c>
      <c r="E116" s="1" t="s">
        <v>1208</v>
      </c>
      <c r="F116" s="1" t="s">
        <v>371</v>
      </c>
      <c r="G116" s="5">
        <f>438.0241</f>
        <v>438.0241</v>
      </c>
      <c r="H116" s="7">
        <f t="shared" si="1"/>
        <v>0.19106580938962628</v>
      </c>
    </row>
    <row r="117" spans="1:8" ht="14.25" customHeight="1">
      <c r="A117" s="3">
        <f>0</f>
        <v>0</v>
      </c>
      <c r="B117" s="3">
        <f>1</f>
        <v>1</v>
      </c>
      <c r="C117" s="1">
        <f>0</f>
        <v>0</v>
      </c>
      <c r="D117" s="1">
        <f>0</f>
        <v>0</v>
      </c>
      <c r="E117" s="1" t="s">
        <v>209</v>
      </c>
      <c r="F117" s="1" t="s">
        <v>1571</v>
      </c>
      <c r="G117" s="5">
        <f>113.6866</f>
        <v>113.6866</v>
      </c>
      <c r="H117" s="7">
        <f t="shared" si="1"/>
        <v>0.0495900162702342</v>
      </c>
    </row>
    <row r="118" spans="1:8" ht="14.25" customHeight="1">
      <c r="A118" s="3">
        <f>0</f>
        <v>0</v>
      </c>
      <c r="B118" s="3">
        <f>1</f>
        <v>1</v>
      </c>
      <c r="C118" s="1">
        <f>0</f>
        <v>0</v>
      </c>
      <c r="D118" s="1">
        <f>0</f>
        <v>0</v>
      </c>
      <c r="E118" s="1" t="s">
        <v>345</v>
      </c>
      <c r="F118" s="1" t="s">
        <v>1529</v>
      </c>
      <c r="G118" s="5">
        <f>890.1194</f>
        <v>890.1194</v>
      </c>
      <c r="H118" s="7">
        <f t="shared" si="1"/>
        <v>0.3882694664846262</v>
      </c>
    </row>
    <row r="119" spans="1:8" ht="14.25" customHeight="1">
      <c r="A119" s="3">
        <f>3</f>
        <v>3</v>
      </c>
      <c r="B119" s="3">
        <f>1</f>
        <v>1</v>
      </c>
      <c r="C119" s="1">
        <f>0</f>
        <v>0</v>
      </c>
      <c r="D119" s="1">
        <f>0</f>
        <v>0</v>
      </c>
      <c r="E119" s="1" t="s">
        <v>21</v>
      </c>
      <c r="F119" s="1"/>
      <c r="G119" s="5">
        <f>95.4167</f>
        <v>95.4167</v>
      </c>
      <c r="H119" s="7">
        <f t="shared" si="1"/>
        <v>0.041620698529572134</v>
      </c>
    </row>
    <row r="120" spans="1:8" ht="14.25" customHeight="1">
      <c r="A120" s="3">
        <f>0</f>
        <v>0</v>
      </c>
      <c r="B120" s="3">
        <f>1</f>
        <v>1</v>
      </c>
      <c r="C120" s="1">
        <f>0</f>
        <v>0</v>
      </c>
      <c r="D120" s="1">
        <f>0</f>
        <v>0</v>
      </c>
      <c r="E120" s="1" t="s">
        <v>458</v>
      </c>
      <c r="F120" s="1" t="s">
        <v>370</v>
      </c>
      <c r="G120" s="5">
        <f>465.9167</f>
        <v>465.9167</v>
      </c>
      <c r="H120" s="7">
        <f t="shared" si="1"/>
        <v>0.20323254221318804</v>
      </c>
    </row>
    <row r="121" spans="1:8" ht="14.25" customHeight="1">
      <c r="A121" s="3">
        <f>0</f>
        <v>0</v>
      </c>
      <c r="B121" s="3">
        <f>1</f>
        <v>1</v>
      </c>
      <c r="C121" s="1">
        <f>0</f>
        <v>0</v>
      </c>
      <c r="D121" s="1">
        <f>0</f>
        <v>0</v>
      </c>
      <c r="E121" s="1" t="s">
        <v>346</v>
      </c>
      <c r="F121" s="1" t="s">
        <v>495</v>
      </c>
      <c r="G121" s="5">
        <f>19.7176</f>
        <v>19.7176</v>
      </c>
      <c r="H121" s="7">
        <f t="shared" si="1"/>
        <v>0.008600803479125682</v>
      </c>
    </row>
    <row r="122" spans="1:8" ht="14.25" customHeight="1">
      <c r="A122" s="3">
        <f>0</f>
        <v>0</v>
      </c>
      <c r="B122" s="3">
        <f>1</f>
        <v>1</v>
      </c>
      <c r="C122" s="1">
        <f>0</f>
        <v>0</v>
      </c>
      <c r="D122" s="1">
        <f>0</f>
        <v>0</v>
      </c>
      <c r="E122" s="1" t="s">
        <v>287</v>
      </c>
      <c r="F122" s="1" t="s">
        <v>88</v>
      </c>
      <c r="G122" s="5">
        <f>7.8833</f>
        <v>7.8833</v>
      </c>
      <c r="H122" s="7">
        <f t="shared" si="1"/>
        <v>0.00343869000623765</v>
      </c>
    </row>
    <row r="123" spans="1:8" ht="14.25" customHeight="1">
      <c r="A123" s="3">
        <f>0</f>
        <v>0</v>
      </c>
      <c r="B123" s="3">
        <f>1</f>
        <v>1</v>
      </c>
      <c r="C123" s="1">
        <f>0</f>
        <v>0</v>
      </c>
      <c r="D123" s="1">
        <f>0</f>
        <v>0</v>
      </c>
      <c r="E123" s="1" t="s">
        <v>357</v>
      </c>
      <c r="F123" s="1" t="s">
        <v>1388</v>
      </c>
      <c r="G123" s="5">
        <f>14.3667</f>
        <v>14.3667</v>
      </c>
      <c r="H123" s="7">
        <f t="shared" si="1"/>
        <v>0.006266744600943063</v>
      </c>
    </row>
    <row r="124" spans="1:8" ht="14.25" customHeight="1">
      <c r="A124" s="3">
        <f>0</f>
        <v>0</v>
      </c>
      <c r="B124" s="3">
        <f>1</f>
        <v>1</v>
      </c>
      <c r="C124" s="1">
        <f>0</f>
        <v>0</v>
      </c>
      <c r="D124" s="1">
        <f>0</f>
        <v>0</v>
      </c>
      <c r="E124" s="1" t="s">
        <v>1144</v>
      </c>
      <c r="F124" s="1" t="s">
        <v>269</v>
      </c>
      <c r="G124" s="5">
        <f>175.5667</f>
        <v>175.5667</v>
      </c>
      <c r="H124" s="7">
        <f t="shared" si="1"/>
        <v>0.07658207308083209</v>
      </c>
    </row>
    <row r="125" spans="1:8" ht="14.25" customHeight="1">
      <c r="A125" s="3">
        <f>0</f>
        <v>0</v>
      </c>
      <c r="B125" s="3">
        <f>1</f>
        <v>1</v>
      </c>
      <c r="C125" s="1">
        <f>0</f>
        <v>0</v>
      </c>
      <c r="D125" s="1">
        <f>0</f>
        <v>0</v>
      </c>
      <c r="E125" s="1" t="s">
        <v>249</v>
      </c>
      <c r="F125" s="1" t="s">
        <v>242</v>
      </c>
      <c r="G125" s="5">
        <f>695.6667</f>
        <v>695.6667</v>
      </c>
      <c r="H125" s="7">
        <f t="shared" si="1"/>
        <v>0.3034493332693574</v>
      </c>
    </row>
    <row r="126" spans="1:8" ht="14.25" customHeight="1">
      <c r="A126" s="3">
        <f>0</f>
        <v>0</v>
      </c>
      <c r="B126" s="3">
        <f>1</f>
        <v>1</v>
      </c>
      <c r="C126" s="1">
        <f>0</f>
        <v>0</v>
      </c>
      <c r="D126" s="1">
        <f>0</f>
        <v>0</v>
      </c>
      <c r="E126" s="1" t="s">
        <v>1220</v>
      </c>
      <c r="F126" s="1" t="s">
        <v>259</v>
      </c>
      <c r="G126" s="5">
        <f>1104.0625</f>
        <v>1104.0625</v>
      </c>
      <c r="H126" s="7">
        <f t="shared" si="1"/>
        <v>0.48159129869620027</v>
      </c>
    </row>
    <row r="127" spans="1:8" ht="14.25" customHeight="1">
      <c r="A127" s="3">
        <f>3</f>
        <v>3</v>
      </c>
      <c r="B127" s="3">
        <f>1</f>
        <v>1</v>
      </c>
      <c r="C127" s="1">
        <f>0</f>
        <v>0</v>
      </c>
      <c r="D127" s="1">
        <f>0</f>
        <v>0</v>
      </c>
      <c r="E127" s="1" t="s">
        <v>298</v>
      </c>
      <c r="F127" s="1"/>
      <c r="G127" s="5">
        <f>13.425</f>
        <v>13.425</v>
      </c>
      <c r="H127" s="7">
        <f t="shared" si="1"/>
        <v>0.0058559757124225205</v>
      </c>
    </row>
    <row r="128" spans="1:8" ht="14.25" customHeight="1">
      <c r="A128" s="3">
        <f>3</f>
        <v>3</v>
      </c>
      <c r="B128" s="3">
        <f>1</f>
        <v>1</v>
      </c>
      <c r="C128" s="1">
        <f>0</f>
        <v>0</v>
      </c>
      <c r="D128" s="1">
        <f>0</f>
        <v>0</v>
      </c>
      <c r="E128" s="1" t="s">
        <v>193</v>
      </c>
      <c r="F128" s="1"/>
      <c r="G128" s="5">
        <f>402</f>
        <v>402</v>
      </c>
      <c r="H128" s="7">
        <f t="shared" si="1"/>
        <v>0.17535212189153468</v>
      </c>
    </row>
    <row r="129" spans="1:8" ht="14.25" customHeight="1">
      <c r="A129" s="3">
        <f>3</f>
        <v>3</v>
      </c>
      <c r="B129" s="3">
        <f>1</f>
        <v>1</v>
      </c>
      <c r="C129" s="1">
        <f>0</f>
        <v>0</v>
      </c>
      <c r="D129" s="1">
        <f>0</f>
        <v>0</v>
      </c>
      <c r="E129" s="1" t="s">
        <v>1453</v>
      </c>
      <c r="F129" s="1"/>
      <c r="G129" s="5">
        <f>286.35</f>
        <v>286.35</v>
      </c>
      <c r="H129" s="7">
        <f t="shared" si="1"/>
        <v>0.12490567189960437</v>
      </c>
    </row>
    <row r="130" spans="1:8" ht="14.25" customHeight="1">
      <c r="A130" s="3">
        <f>3</f>
        <v>3</v>
      </c>
      <c r="B130" s="3">
        <f>1</f>
        <v>1</v>
      </c>
      <c r="C130" s="1">
        <f>0</f>
        <v>0</v>
      </c>
      <c r="D130" s="1">
        <f>0</f>
        <v>0</v>
      </c>
      <c r="E130" s="1" t="s">
        <v>1191</v>
      </c>
      <c r="F130" s="1"/>
      <c r="G130" s="5">
        <f>120.05</f>
        <v>120.05</v>
      </c>
      <c r="H130" s="7">
        <f aca="true" t="shared" si="2" ref="H130:H193">SUM(100/229253*G$1:G$65536)</f>
        <v>0.052365726947957054</v>
      </c>
    </row>
    <row r="131" spans="1:8" ht="14.25" customHeight="1">
      <c r="A131" s="3">
        <f>0</f>
        <v>0</v>
      </c>
      <c r="B131" s="3">
        <f>1</f>
        <v>1</v>
      </c>
      <c r="C131" s="1">
        <f>0</f>
        <v>0</v>
      </c>
      <c r="D131" s="1">
        <f>0</f>
        <v>0</v>
      </c>
      <c r="E131" s="1" t="s">
        <v>854</v>
      </c>
      <c r="F131" s="1" t="s">
        <v>1025</v>
      </c>
      <c r="G131" s="5">
        <f>59.761</f>
        <v>59.761</v>
      </c>
      <c r="H131" s="7">
        <f t="shared" si="2"/>
        <v>0.026067706856616926</v>
      </c>
    </row>
    <row r="132" spans="1:8" ht="14.25" customHeight="1">
      <c r="A132" s="3">
        <f>3</f>
        <v>3</v>
      </c>
      <c r="B132" s="3">
        <f>1</f>
        <v>1</v>
      </c>
      <c r="C132" s="1">
        <f>0</f>
        <v>0</v>
      </c>
      <c r="D132" s="1">
        <f>0</f>
        <v>0</v>
      </c>
      <c r="E132" s="1" t="s">
        <v>579</v>
      </c>
      <c r="F132" s="1"/>
      <c r="G132" s="5">
        <f>39.05</f>
        <v>39.05</v>
      </c>
      <c r="H132" s="7">
        <f t="shared" si="2"/>
        <v>0.017033582984737384</v>
      </c>
    </row>
    <row r="133" spans="1:8" ht="14.25" customHeight="1">
      <c r="A133" s="3">
        <f>3</f>
        <v>3</v>
      </c>
      <c r="B133" s="3">
        <f>1</f>
        <v>1</v>
      </c>
      <c r="C133" s="1">
        <f>0</f>
        <v>0</v>
      </c>
      <c r="D133" s="1">
        <f>0</f>
        <v>0</v>
      </c>
      <c r="E133" s="1" t="s">
        <v>1502</v>
      </c>
      <c r="F133" s="1"/>
      <c r="G133" s="5">
        <f>6.5</f>
        <v>6.5</v>
      </c>
      <c r="H133" s="7">
        <f t="shared" si="2"/>
        <v>0.0028352955032213316</v>
      </c>
    </row>
    <row r="134" spans="1:8" ht="14.25" customHeight="1">
      <c r="A134" s="3">
        <f>3</f>
        <v>3</v>
      </c>
      <c r="B134" s="3">
        <f>1</f>
        <v>1</v>
      </c>
      <c r="C134" s="1">
        <f>0</f>
        <v>0</v>
      </c>
      <c r="D134" s="1">
        <f>0</f>
        <v>0</v>
      </c>
      <c r="E134" s="1" t="s">
        <v>741</v>
      </c>
      <c r="F134" s="1"/>
      <c r="G134" s="5">
        <f>101.7667</f>
        <v>101.7667</v>
      </c>
      <c r="H134" s="7">
        <f t="shared" si="2"/>
        <v>0.04439056413656528</v>
      </c>
    </row>
    <row r="135" spans="1:8" ht="14.25" customHeight="1">
      <c r="A135" s="3">
        <f>0</f>
        <v>0</v>
      </c>
      <c r="B135" s="3">
        <f>1</f>
        <v>1</v>
      </c>
      <c r="C135" s="1">
        <f>0</f>
        <v>0</v>
      </c>
      <c r="D135" s="1">
        <f>0</f>
        <v>0</v>
      </c>
      <c r="E135" s="1" t="s">
        <v>892</v>
      </c>
      <c r="F135" s="1" t="s">
        <v>482</v>
      </c>
      <c r="G135" s="5">
        <f>168.5</f>
        <v>168.5</v>
      </c>
      <c r="H135" s="7">
        <f t="shared" si="2"/>
        <v>0.07349958342966068</v>
      </c>
    </row>
    <row r="136" spans="1:8" ht="14.25" customHeight="1">
      <c r="A136" s="3">
        <f>0</f>
        <v>0</v>
      </c>
      <c r="B136" s="3">
        <f>1</f>
        <v>1</v>
      </c>
      <c r="C136" s="1">
        <f>0</f>
        <v>0</v>
      </c>
      <c r="D136" s="1">
        <f>0</f>
        <v>0</v>
      </c>
      <c r="E136" s="1" t="s">
        <v>1221</v>
      </c>
      <c r="F136" s="1" t="s">
        <v>349</v>
      </c>
      <c r="G136" s="5">
        <f>95.3333</f>
        <v>95.3333</v>
      </c>
      <c r="H136" s="7">
        <f t="shared" si="2"/>
        <v>0.041584319507269256</v>
      </c>
    </row>
    <row r="137" spans="1:8" ht="14.25" customHeight="1">
      <c r="A137" s="3">
        <f>0</f>
        <v>0</v>
      </c>
      <c r="B137" s="3">
        <f>1</f>
        <v>1</v>
      </c>
      <c r="C137" s="1">
        <f>0</f>
        <v>0</v>
      </c>
      <c r="D137" s="1">
        <f>0</f>
        <v>0</v>
      </c>
      <c r="E137" s="1" t="s">
        <v>1300</v>
      </c>
      <c r="F137" s="1" t="s">
        <v>260</v>
      </c>
      <c r="G137" s="5">
        <f>190.125</f>
        <v>190.125</v>
      </c>
      <c r="H137" s="7">
        <f t="shared" si="2"/>
        <v>0.08293239346922396</v>
      </c>
    </row>
    <row r="138" spans="1:8" ht="14.25" customHeight="1">
      <c r="A138" s="3">
        <f>3</f>
        <v>3</v>
      </c>
      <c r="B138" s="3">
        <f>1</f>
        <v>1</v>
      </c>
      <c r="C138" s="1">
        <f>0</f>
        <v>0</v>
      </c>
      <c r="D138" s="1">
        <f>0</f>
        <v>0</v>
      </c>
      <c r="E138" s="1" t="s">
        <v>489</v>
      </c>
      <c r="F138" s="1"/>
      <c r="G138" s="5">
        <f>16.5938</f>
        <v>16.5938</v>
      </c>
      <c r="H138" s="7">
        <f t="shared" si="2"/>
        <v>0.007238204080208329</v>
      </c>
    </row>
    <row r="139" spans="1:8" ht="14.25" customHeight="1">
      <c r="A139" s="3">
        <f>3</f>
        <v>3</v>
      </c>
      <c r="B139" s="3">
        <f>1</f>
        <v>1</v>
      </c>
      <c r="C139" s="1">
        <f>0</f>
        <v>0</v>
      </c>
      <c r="D139" s="1">
        <f>0</f>
        <v>0</v>
      </c>
      <c r="E139" s="1" t="s">
        <v>478</v>
      </c>
      <c r="F139" s="1"/>
      <c r="G139" s="5">
        <f>9.15</f>
        <v>9.15</v>
      </c>
      <c r="H139" s="7">
        <f t="shared" si="2"/>
        <v>0.003991223669919259</v>
      </c>
    </row>
    <row r="140" spans="1:8" ht="14.25" customHeight="1">
      <c r="A140" s="3">
        <f>3</f>
        <v>3</v>
      </c>
      <c r="B140" s="3">
        <f>1</f>
        <v>1</v>
      </c>
      <c r="C140" s="1">
        <f>0</f>
        <v>0</v>
      </c>
      <c r="D140" s="1">
        <f>0</f>
        <v>0</v>
      </c>
      <c r="E140" s="1" t="s">
        <v>214</v>
      </c>
      <c r="F140" s="1"/>
      <c r="G140" s="5">
        <f>8</f>
        <v>8</v>
      </c>
      <c r="H140" s="7">
        <f t="shared" si="2"/>
        <v>0.0034895944655031776</v>
      </c>
    </row>
    <row r="141" spans="1:8" ht="14.25" customHeight="1">
      <c r="A141" s="3">
        <f>3</f>
        <v>3</v>
      </c>
      <c r="B141" s="3">
        <f>1</f>
        <v>1</v>
      </c>
      <c r="C141" s="1">
        <f>0</f>
        <v>0</v>
      </c>
      <c r="D141" s="1">
        <f>0</f>
        <v>0</v>
      </c>
      <c r="E141" s="1" t="s">
        <v>1540</v>
      </c>
      <c r="F141" s="1"/>
      <c r="G141" s="5">
        <f>159.1</f>
        <v>159.1</v>
      </c>
      <c r="H141" s="7">
        <f t="shared" si="2"/>
        <v>0.06939930993269444</v>
      </c>
    </row>
    <row r="142" spans="1:8" ht="14.25" customHeight="1">
      <c r="A142" s="3">
        <f>3</f>
        <v>3</v>
      </c>
      <c r="B142" s="3">
        <f>1</f>
        <v>1</v>
      </c>
      <c r="C142" s="1">
        <f>0</f>
        <v>0</v>
      </c>
      <c r="D142" s="1">
        <f>0</f>
        <v>0</v>
      </c>
      <c r="E142" s="1" t="s">
        <v>954</v>
      </c>
      <c r="F142" s="1"/>
      <c r="G142" s="5">
        <f>7.55</f>
        <v>7.55</v>
      </c>
      <c r="H142" s="7">
        <f t="shared" si="2"/>
        <v>0.0032933047768186237</v>
      </c>
    </row>
    <row r="143" spans="1:8" ht="14.25" customHeight="1">
      <c r="A143" s="3">
        <f>3</f>
        <v>3</v>
      </c>
      <c r="B143" s="3">
        <f>1</f>
        <v>1</v>
      </c>
      <c r="C143" s="1">
        <f>0</f>
        <v>0</v>
      </c>
      <c r="D143" s="1">
        <f>0</f>
        <v>0</v>
      </c>
      <c r="E143" s="1" t="s">
        <v>532</v>
      </c>
      <c r="F143" s="1"/>
      <c r="G143" s="5">
        <f>12.1333</f>
        <v>12.1333</v>
      </c>
      <c r="H143" s="7">
        <f t="shared" si="2"/>
        <v>0.005292537066036213</v>
      </c>
    </row>
    <row r="144" spans="1:8" ht="14.25" customHeight="1">
      <c r="A144" s="3">
        <f>3</f>
        <v>3</v>
      </c>
      <c r="B144" s="3">
        <f>1</f>
        <v>1</v>
      </c>
      <c r="C144" s="1">
        <f>0</f>
        <v>0</v>
      </c>
      <c r="D144" s="1">
        <f>0</f>
        <v>0</v>
      </c>
      <c r="E144" s="1" t="s">
        <v>1594</v>
      </c>
      <c r="F144" s="1"/>
      <c r="G144" s="5">
        <f>40.5429</f>
        <v>40.5429</v>
      </c>
      <c r="H144" s="7">
        <f t="shared" si="2"/>
        <v>0.0176847849319311</v>
      </c>
    </row>
    <row r="145" spans="1:8" ht="14.25" customHeight="1">
      <c r="A145" s="3">
        <f>3</f>
        <v>3</v>
      </c>
      <c r="B145" s="3">
        <f>1</f>
        <v>1</v>
      </c>
      <c r="C145" s="1">
        <f>0</f>
        <v>0</v>
      </c>
      <c r="D145" s="1">
        <f>0</f>
        <v>0</v>
      </c>
      <c r="E145" s="1" t="s">
        <v>516</v>
      </c>
      <c r="F145" s="1"/>
      <c r="G145" s="5">
        <f>26</f>
        <v>26</v>
      </c>
      <c r="H145" s="7">
        <f t="shared" si="2"/>
        <v>0.011341182012885326</v>
      </c>
    </row>
    <row r="146" spans="1:8" ht="14.25" customHeight="1">
      <c r="A146" s="3">
        <f>3</f>
        <v>3</v>
      </c>
      <c r="B146" s="3">
        <f>1</f>
        <v>1</v>
      </c>
      <c r="C146" s="1">
        <f>0</f>
        <v>0</v>
      </c>
      <c r="D146" s="1">
        <f>0</f>
        <v>0</v>
      </c>
      <c r="E146" s="1" t="s">
        <v>587</v>
      </c>
      <c r="F146" s="1"/>
      <c r="G146" s="5">
        <f>555.5</f>
        <v>555.5</v>
      </c>
      <c r="H146" s="7">
        <f t="shared" si="2"/>
        <v>0.2423087156983769</v>
      </c>
    </row>
    <row r="147" spans="1:8" ht="14.25" customHeight="1">
      <c r="A147" s="3">
        <f>3</f>
        <v>3</v>
      </c>
      <c r="B147" s="3">
        <f>1</f>
        <v>1</v>
      </c>
      <c r="C147" s="1">
        <f>0</f>
        <v>0</v>
      </c>
      <c r="D147" s="1">
        <f>0</f>
        <v>0</v>
      </c>
      <c r="E147" s="1" t="s">
        <v>580</v>
      </c>
      <c r="F147" s="1"/>
      <c r="G147" s="5">
        <f>23</f>
        <v>23</v>
      </c>
      <c r="H147" s="7">
        <f t="shared" si="2"/>
        <v>0.010032584088321635</v>
      </c>
    </row>
    <row r="148" spans="1:8" ht="14.25" customHeight="1">
      <c r="A148" s="3">
        <f>3</f>
        <v>3</v>
      </c>
      <c r="B148" s="3">
        <f>1</f>
        <v>1</v>
      </c>
      <c r="C148" s="1">
        <f>0</f>
        <v>0</v>
      </c>
      <c r="D148" s="1">
        <f>0</f>
        <v>0</v>
      </c>
      <c r="E148" s="1" t="s">
        <v>554</v>
      </c>
      <c r="F148" s="1"/>
      <c r="G148" s="5">
        <f>347</f>
        <v>347</v>
      </c>
      <c r="H148" s="7">
        <f t="shared" si="2"/>
        <v>0.15136115994120034</v>
      </c>
    </row>
    <row r="149" spans="1:8" ht="14.25" customHeight="1">
      <c r="A149" s="3">
        <f>3</f>
        <v>3</v>
      </c>
      <c r="B149" s="3">
        <f>1</f>
        <v>1</v>
      </c>
      <c r="C149" s="1">
        <f>0</f>
        <v>0</v>
      </c>
      <c r="D149" s="1">
        <f>0</f>
        <v>0</v>
      </c>
      <c r="E149" s="1" t="s">
        <v>760</v>
      </c>
      <c r="F149" s="1"/>
      <c r="G149" s="5">
        <f>50.9821</f>
        <v>50.9821</v>
      </c>
      <c r="H149" s="7">
        <f t="shared" si="2"/>
        <v>0.022238356749966194</v>
      </c>
    </row>
    <row r="150" spans="1:8" ht="14.25" customHeight="1">
      <c r="A150" s="3">
        <f>3</f>
        <v>3</v>
      </c>
      <c r="B150" s="3">
        <f>1</f>
        <v>1</v>
      </c>
      <c r="C150" s="1">
        <f>0</f>
        <v>0</v>
      </c>
      <c r="D150" s="1">
        <f>0</f>
        <v>0</v>
      </c>
      <c r="E150" s="1" t="s">
        <v>685</v>
      </c>
      <c r="F150" s="1"/>
      <c r="G150" s="5">
        <f>58.25</f>
        <v>58.25</v>
      </c>
      <c r="H150" s="7">
        <f t="shared" si="2"/>
        <v>0.02540860970194501</v>
      </c>
    </row>
    <row r="151" spans="1:8" ht="14.25" customHeight="1">
      <c r="A151" s="3">
        <f>0</f>
        <v>0</v>
      </c>
      <c r="B151" s="3">
        <f>1</f>
        <v>1</v>
      </c>
      <c r="C151" s="1">
        <f>0</f>
        <v>0</v>
      </c>
      <c r="D151" s="1">
        <f>0</f>
        <v>0</v>
      </c>
      <c r="E151" s="1" t="s">
        <v>809</v>
      </c>
      <c r="F151" s="1" t="s">
        <v>351</v>
      </c>
      <c r="G151" s="5">
        <f>1116</f>
        <v>1116</v>
      </c>
      <c r="H151" s="7">
        <f t="shared" si="2"/>
        <v>0.4867984279376933</v>
      </c>
    </row>
    <row r="152" spans="1:8" ht="14.25" customHeight="1">
      <c r="A152" s="3">
        <f>3</f>
        <v>3</v>
      </c>
      <c r="B152" s="3">
        <f>1</f>
        <v>1</v>
      </c>
      <c r="C152" s="1">
        <f>0</f>
        <v>0</v>
      </c>
      <c r="D152" s="1">
        <f>0</f>
        <v>0</v>
      </c>
      <c r="E152" s="1" t="s">
        <v>759</v>
      </c>
      <c r="F152" s="1"/>
      <c r="G152" s="5">
        <f>170</f>
        <v>170</v>
      </c>
      <c r="H152" s="7">
        <f t="shared" si="2"/>
        <v>0.07415388239194252</v>
      </c>
    </row>
    <row r="153" spans="1:8" ht="14.25" customHeight="1">
      <c r="A153" s="3">
        <f>3</f>
        <v>3</v>
      </c>
      <c r="B153" s="3">
        <f>1</f>
        <v>1</v>
      </c>
      <c r="C153" s="1">
        <f>0</f>
        <v>0</v>
      </c>
      <c r="D153" s="1">
        <f>0</f>
        <v>0</v>
      </c>
      <c r="E153" s="1" t="s">
        <v>808</v>
      </c>
      <c r="F153" s="1"/>
      <c r="G153" s="5">
        <f>21.8571</f>
        <v>21.8571</v>
      </c>
      <c r="H153" s="7">
        <f t="shared" si="2"/>
        <v>0.009534051898993687</v>
      </c>
    </row>
    <row r="154" spans="1:8" ht="14.25" customHeight="1">
      <c r="A154" s="3">
        <f>3</f>
        <v>3</v>
      </c>
      <c r="B154" s="3">
        <f>1</f>
        <v>1</v>
      </c>
      <c r="C154" s="1">
        <f>0</f>
        <v>0</v>
      </c>
      <c r="D154" s="1">
        <f>0</f>
        <v>0</v>
      </c>
      <c r="E154" s="1" t="s">
        <v>630</v>
      </c>
      <c r="F154" s="1"/>
      <c r="G154" s="5">
        <f>7.5</f>
        <v>7.5</v>
      </c>
      <c r="H154" s="7">
        <f t="shared" si="2"/>
        <v>0.003271494811409229</v>
      </c>
    </row>
    <row r="155" spans="1:8" ht="14.25" customHeight="1">
      <c r="A155" s="3">
        <f>3</f>
        <v>3</v>
      </c>
      <c r="B155" s="3">
        <f>1</f>
        <v>1</v>
      </c>
      <c r="C155" s="1">
        <f>0</f>
        <v>0</v>
      </c>
      <c r="D155" s="1">
        <f>0</f>
        <v>0</v>
      </c>
      <c r="E155" s="1" t="s">
        <v>686</v>
      </c>
      <c r="F155" s="1"/>
      <c r="G155" s="5">
        <f>58.25</f>
        <v>58.25</v>
      </c>
      <c r="H155" s="7">
        <f t="shared" si="2"/>
        <v>0.02540860970194501</v>
      </c>
    </row>
    <row r="156" spans="1:8" ht="14.25" customHeight="1">
      <c r="A156" s="3">
        <f>0</f>
        <v>0</v>
      </c>
      <c r="B156" s="3">
        <f>1</f>
        <v>1</v>
      </c>
      <c r="C156" s="1">
        <f>0</f>
        <v>0</v>
      </c>
      <c r="D156" s="1">
        <f>0</f>
        <v>0</v>
      </c>
      <c r="E156" s="1" t="s">
        <v>1094</v>
      </c>
      <c r="F156" s="1" t="s">
        <v>379</v>
      </c>
      <c r="G156" s="5">
        <f>29.125</f>
        <v>29.125</v>
      </c>
      <c r="H156" s="7">
        <f t="shared" si="2"/>
        <v>0.012704304850972506</v>
      </c>
    </row>
    <row r="157" spans="1:8" ht="14.25" customHeight="1">
      <c r="A157" s="3">
        <f>3</f>
        <v>3</v>
      </c>
      <c r="B157" s="3">
        <f>1</f>
        <v>1</v>
      </c>
      <c r="C157" s="1">
        <f>0</f>
        <v>0</v>
      </c>
      <c r="D157" s="1">
        <f>0</f>
        <v>0</v>
      </c>
      <c r="E157" s="1" t="s">
        <v>1307</v>
      </c>
      <c r="F157" s="1"/>
      <c r="G157" s="5">
        <f>92.9286</f>
        <v>92.9286</v>
      </c>
      <c r="H157" s="7">
        <f t="shared" si="2"/>
        <v>0.040535391030869825</v>
      </c>
    </row>
    <row r="158" spans="1:8" ht="14.25" customHeight="1">
      <c r="A158" s="3">
        <f>3</f>
        <v>3</v>
      </c>
      <c r="B158" s="3">
        <f>1</f>
        <v>1</v>
      </c>
      <c r="C158" s="1">
        <f>0</f>
        <v>0</v>
      </c>
      <c r="D158" s="1">
        <f>0</f>
        <v>0</v>
      </c>
      <c r="E158" s="1" t="s">
        <v>988</v>
      </c>
      <c r="F158" s="1"/>
      <c r="G158" s="5">
        <f>23</f>
        <v>23</v>
      </c>
      <c r="H158" s="7">
        <f t="shared" si="2"/>
        <v>0.010032584088321635</v>
      </c>
    </row>
    <row r="159" spans="1:8" ht="14.25" customHeight="1">
      <c r="A159" s="3">
        <f>3</f>
        <v>3</v>
      </c>
      <c r="B159" s="3">
        <f>1</f>
        <v>1</v>
      </c>
      <c r="C159" s="1">
        <f>0</f>
        <v>0</v>
      </c>
      <c r="D159" s="1">
        <f>0</f>
        <v>0</v>
      </c>
      <c r="E159" s="1" t="s">
        <v>1358</v>
      </c>
      <c r="F159" s="1"/>
      <c r="G159" s="5">
        <f>642</f>
        <v>642</v>
      </c>
      <c r="H159" s="7">
        <f t="shared" si="2"/>
        <v>0.28003995585663</v>
      </c>
    </row>
    <row r="160" spans="1:8" ht="14.25" customHeight="1">
      <c r="A160" s="3">
        <f>0</f>
        <v>0</v>
      </c>
      <c r="B160" s="3">
        <f>1</f>
        <v>1</v>
      </c>
      <c r="C160" s="1">
        <f>0</f>
        <v>0</v>
      </c>
      <c r="D160" s="1">
        <f>0</f>
        <v>0</v>
      </c>
      <c r="E160" s="1" t="s">
        <v>417</v>
      </c>
      <c r="F160" s="1" t="s">
        <v>65</v>
      </c>
      <c r="G160" s="5">
        <f>1217</f>
        <v>1217</v>
      </c>
      <c r="H160" s="7">
        <f t="shared" si="2"/>
        <v>0.5308545580646709</v>
      </c>
    </row>
    <row r="161" spans="1:8" ht="14.25" customHeight="1">
      <c r="A161" s="3">
        <f>3</f>
        <v>3</v>
      </c>
      <c r="B161" s="3">
        <f>1</f>
        <v>1</v>
      </c>
      <c r="C161" s="1">
        <f>0</f>
        <v>0</v>
      </c>
      <c r="D161" s="1">
        <f>0</f>
        <v>0</v>
      </c>
      <c r="E161" s="1" t="s">
        <v>1031</v>
      </c>
      <c r="F161" s="1"/>
      <c r="G161" s="5">
        <f>63.2917</f>
        <v>63.2917</v>
      </c>
      <c r="H161" s="7">
        <f t="shared" si="2"/>
        <v>0.027607795754035932</v>
      </c>
    </row>
    <row r="162" spans="1:8" ht="14.25" customHeight="1">
      <c r="A162" s="3">
        <f>3</f>
        <v>3</v>
      </c>
      <c r="B162" s="3">
        <f>1</f>
        <v>1</v>
      </c>
      <c r="C162" s="1">
        <f>0</f>
        <v>0</v>
      </c>
      <c r="D162" s="1">
        <f>0</f>
        <v>0</v>
      </c>
      <c r="E162" s="1" t="s">
        <v>588</v>
      </c>
      <c r="F162" s="1"/>
      <c r="G162" s="5">
        <f>309.5</f>
        <v>309.5</v>
      </c>
      <c r="H162" s="7">
        <f t="shared" si="2"/>
        <v>0.13500368588415418</v>
      </c>
    </row>
    <row r="163" spans="1:8" ht="14.25" customHeight="1">
      <c r="A163" s="3">
        <f>3</f>
        <v>3</v>
      </c>
      <c r="B163" s="3">
        <f>1</f>
        <v>1</v>
      </c>
      <c r="C163" s="1">
        <f>0</f>
        <v>0</v>
      </c>
      <c r="D163" s="1">
        <f>0</f>
        <v>0</v>
      </c>
      <c r="E163" s="1" t="s">
        <v>1503</v>
      </c>
      <c r="F163" s="1"/>
      <c r="G163" s="5">
        <f>67.5</f>
        <v>67.5</v>
      </c>
      <c r="H163" s="7">
        <f t="shared" si="2"/>
        <v>0.02944345330268306</v>
      </c>
    </row>
    <row r="164" spans="1:8" ht="14.25" customHeight="1">
      <c r="A164" s="3">
        <f>0</f>
        <v>0</v>
      </c>
      <c r="B164" s="3">
        <f>1</f>
        <v>1</v>
      </c>
      <c r="C164" s="1">
        <f>0</f>
        <v>0</v>
      </c>
      <c r="D164" s="1">
        <f>0</f>
        <v>0</v>
      </c>
      <c r="E164" s="1" t="s">
        <v>326</v>
      </c>
      <c r="F164" s="1" t="s">
        <v>1397</v>
      </c>
      <c r="G164" s="5">
        <f>22.8264</f>
        <v>22.8264</v>
      </c>
      <c r="H164" s="7">
        <f t="shared" si="2"/>
        <v>0.009956859888420216</v>
      </c>
    </row>
    <row r="165" spans="1:8" ht="14.25" customHeight="1">
      <c r="A165" s="3">
        <f>3</f>
        <v>3</v>
      </c>
      <c r="B165" s="3">
        <f>1</f>
        <v>1</v>
      </c>
      <c r="C165" s="1">
        <f>0</f>
        <v>0</v>
      </c>
      <c r="D165" s="1">
        <f>0</f>
        <v>0</v>
      </c>
      <c r="E165" s="1" t="s">
        <v>327</v>
      </c>
      <c r="F165" s="1"/>
      <c r="G165" s="5">
        <f>189.6667</f>
        <v>189.6667</v>
      </c>
      <c r="H165" s="7">
        <f t="shared" si="2"/>
        <v>0.08273248332628144</v>
      </c>
    </row>
    <row r="166" spans="1:8" ht="14.25" customHeight="1">
      <c r="A166" s="3">
        <f>3</f>
        <v>3</v>
      </c>
      <c r="B166" s="3">
        <f>1</f>
        <v>1</v>
      </c>
      <c r="C166" s="1">
        <f>0</f>
        <v>0</v>
      </c>
      <c r="D166" s="1">
        <f>0</f>
        <v>0</v>
      </c>
      <c r="E166" s="1" t="s">
        <v>789</v>
      </c>
      <c r="F166" s="1"/>
      <c r="G166" s="5">
        <f>82</f>
        <v>82</v>
      </c>
      <c r="H166" s="7">
        <f t="shared" si="2"/>
        <v>0.03576834327140757</v>
      </c>
    </row>
    <row r="167" spans="1:8" ht="14.25" customHeight="1">
      <c r="A167" s="3">
        <f>0</f>
        <v>0</v>
      </c>
      <c r="B167" s="3">
        <f>1</f>
        <v>1</v>
      </c>
      <c r="C167" s="1">
        <f>0</f>
        <v>0</v>
      </c>
      <c r="D167" s="1">
        <f>0</f>
        <v>0</v>
      </c>
      <c r="E167" s="1" t="s">
        <v>955</v>
      </c>
      <c r="F167" s="1" t="s">
        <v>368</v>
      </c>
      <c r="G167" s="5">
        <f>40.0536</f>
        <v>40.0536</v>
      </c>
      <c r="H167" s="7">
        <f t="shared" si="2"/>
        <v>0.01747135261043476</v>
      </c>
    </row>
    <row r="168" spans="1:8" ht="14.25" customHeight="1">
      <c r="A168" s="3">
        <f>3</f>
        <v>3</v>
      </c>
      <c r="B168" s="3">
        <f>1</f>
        <v>1</v>
      </c>
      <c r="C168" s="1">
        <f>0</f>
        <v>0</v>
      </c>
      <c r="D168" s="1">
        <f>0</f>
        <v>0</v>
      </c>
      <c r="E168" s="1" t="s">
        <v>1454</v>
      </c>
      <c r="F168" s="1"/>
      <c r="G168" s="5">
        <f>309.5</f>
        <v>309.5</v>
      </c>
      <c r="H168" s="7">
        <f t="shared" si="2"/>
        <v>0.13500368588415418</v>
      </c>
    </row>
    <row r="169" spans="1:8" ht="14.25" customHeight="1">
      <c r="A169" s="3">
        <f>3</f>
        <v>3</v>
      </c>
      <c r="B169" s="3">
        <f>1</f>
        <v>1</v>
      </c>
      <c r="C169" s="1">
        <f>0</f>
        <v>0</v>
      </c>
      <c r="D169" s="1">
        <f>0</f>
        <v>0</v>
      </c>
      <c r="E169" s="1" t="s">
        <v>1145</v>
      </c>
      <c r="F169" s="1"/>
      <c r="G169" s="5">
        <f>260</f>
        <v>260</v>
      </c>
      <c r="H169" s="7">
        <f t="shared" si="2"/>
        <v>0.11341182012885327</v>
      </c>
    </row>
    <row r="170" spans="1:8" ht="14.25" customHeight="1">
      <c r="A170" s="3">
        <f>3</f>
        <v>3</v>
      </c>
      <c r="B170" s="3">
        <f>1</f>
        <v>1</v>
      </c>
      <c r="C170" s="1">
        <f>0</f>
        <v>0</v>
      </c>
      <c r="D170" s="1">
        <f>0</f>
        <v>0</v>
      </c>
      <c r="E170" s="1" t="s">
        <v>1106</v>
      </c>
      <c r="F170" s="1"/>
      <c r="G170" s="5">
        <f>347</f>
        <v>347</v>
      </c>
      <c r="H170" s="7">
        <f t="shared" si="2"/>
        <v>0.15136115994120034</v>
      </c>
    </row>
    <row r="171" spans="1:8" ht="14.25" customHeight="1">
      <c r="A171" s="3">
        <f>3</f>
        <v>3</v>
      </c>
      <c r="B171" s="3">
        <f>1</f>
        <v>1</v>
      </c>
      <c r="C171" s="1">
        <f>0</f>
        <v>0</v>
      </c>
      <c r="D171" s="1">
        <f>0</f>
        <v>0</v>
      </c>
      <c r="E171" s="1" t="s">
        <v>1595</v>
      </c>
      <c r="F171" s="1"/>
      <c r="G171" s="5">
        <f>5.25</f>
        <v>5.25</v>
      </c>
      <c r="H171" s="7">
        <f t="shared" si="2"/>
        <v>0.0022900463679864603</v>
      </c>
    </row>
    <row r="172" spans="1:8" ht="14.25" customHeight="1">
      <c r="A172" s="3">
        <f>3</f>
        <v>3</v>
      </c>
      <c r="B172" s="3">
        <f>1</f>
        <v>1</v>
      </c>
      <c r="C172" s="1">
        <f>0</f>
        <v>0</v>
      </c>
      <c r="D172" s="1">
        <f>0</f>
        <v>0</v>
      </c>
      <c r="E172" s="1" t="s">
        <v>498</v>
      </c>
      <c r="F172" s="1"/>
      <c r="G172" s="5">
        <f>25.4167</f>
        <v>25.4167</v>
      </c>
      <c r="H172" s="7">
        <f t="shared" si="2"/>
        <v>0.011086746956419325</v>
      </c>
    </row>
    <row r="173" spans="1:8" ht="14.25" customHeight="1">
      <c r="A173" s="3">
        <f>3</f>
        <v>3</v>
      </c>
      <c r="B173" s="3">
        <f>1</f>
        <v>1</v>
      </c>
      <c r="C173" s="1">
        <f>0</f>
        <v>0</v>
      </c>
      <c r="D173" s="1">
        <f>0</f>
        <v>0</v>
      </c>
      <c r="E173" s="1" t="s">
        <v>855</v>
      </c>
      <c r="F173" s="1"/>
      <c r="G173" s="5">
        <f>3.3958</f>
        <v>3.3958</v>
      </c>
      <c r="H173" s="7">
        <f t="shared" si="2"/>
        <v>0.0014812456107444613</v>
      </c>
    </row>
    <row r="174" spans="1:8" ht="14.25" customHeight="1">
      <c r="A174" s="3">
        <f>3</f>
        <v>3</v>
      </c>
      <c r="B174" s="3">
        <f>1</f>
        <v>1</v>
      </c>
      <c r="C174" s="1">
        <f>0</f>
        <v>0</v>
      </c>
      <c r="D174" s="1">
        <f>0</f>
        <v>0</v>
      </c>
      <c r="E174" s="1" t="s">
        <v>499</v>
      </c>
      <c r="F174" s="1"/>
      <c r="G174" s="5">
        <f>26.5486</f>
        <v>26.5486</v>
      </c>
      <c r="H174" s="7">
        <f t="shared" si="2"/>
        <v>0.011580480953357208</v>
      </c>
    </row>
    <row r="175" spans="1:8" ht="14.25" customHeight="1">
      <c r="A175" s="3">
        <f>3</f>
        <v>3</v>
      </c>
      <c r="B175" s="3">
        <f>1</f>
        <v>1</v>
      </c>
      <c r="C175" s="1">
        <f>0</f>
        <v>0</v>
      </c>
      <c r="D175" s="1">
        <f>0</f>
        <v>0</v>
      </c>
      <c r="E175" s="1" t="s">
        <v>443</v>
      </c>
      <c r="F175" s="1"/>
      <c r="G175" s="5">
        <f>279.65</f>
        <v>279.65</v>
      </c>
      <c r="H175" s="7">
        <f t="shared" si="2"/>
        <v>0.12198313653474545</v>
      </c>
    </row>
    <row r="176" spans="1:8" ht="14.25" customHeight="1">
      <c r="A176" s="3">
        <f>3</f>
        <v>3</v>
      </c>
      <c r="B176" s="3">
        <f>1</f>
        <v>1</v>
      </c>
      <c r="C176" s="1">
        <f>0</f>
        <v>0</v>
      </c>
      <c r="D176" s="1">
        <f>0</f>
        <v>0</v>
      </c>
      <c r="E176" s="1" t="s">
        <v>1596</v>
      </c>
      <c r="F176" s="1"/>
      <c r="G176" s="5">
        <f>94.2539</f>
        <v>94.2539</v>
      </c>
      <c r="H176" s="7">
        <f t="shared" si="2"/>
        <v>0.041113485974011245</v>
      </c>
    </row>
    <row r="177" spans="1:8" ht="14.25" customHeight="1">
      <c r="A177" s="3">
        <f>3</f>
        <v>3</v>
      </c>
      <c r="B177" s="3">
        <f>1</f>
        <v>1</v>
      </c>
      <c r="C177" s="1">
        <f>0</f>
        <v>0</v>
      </c>
      <c r="D177" s="1">
        <f>0</f>
        <v>0</v>
      </c>
      <c r="E177" s="1" t="s">
        <v>1597</v>
      </c>
      <c r="F177" s="1"/>
      <c r="G177" s="5">
        <f>90.5833</f>
        <v>90.5833</v>
      </c>
      <c r="H177" s="7">
        <f t="shared" si="2"/>
        <v>0.03951237279337674</v>
      </c>
    </row>
    <row r="178" spans="1:8" ht="14.25" customHeight="1">
      <c r="A178" s="3">
        <f>3</f>
        <v>3</v>
      </c>
      <c r="B178" s="3">
        <f>1</f>
        <v>1</v>
      </c>
      <c r="C178" s="1">
        <f>0</f>
        <v>0</v>
      </c>
      <c r="D178" s="1">
        <f>0</f>
        <v>0</v>
      </c>
      <c r="E178" s="1" t="s">
        <v>1032</v>
      </c>
      <c r="F178" s="1"/>
      <c r="G178" s="5">
        <f>48.5833</f>
        <v>48.5833</v>
      </c>
      <c r="H178" s="7">
        <f t="shared" si="2"/>
        <v>0.021192001849485068</v>
      </c>
    </row>
    <row r="179" spans="1:8" ht="14.25" customHeight="1">
      <c r="A179" s="3">
        <f>3</f>
        <v>3</v>
      </c>
      <c r="B179" s="3">
        <f>1</f>
        <v>1</v>
      </c>
      <c r="C179" s="1">
        <f>0</f>
        <v>0</v>
      </c>
      <c r="D179" s="1">
        <f>0</f>
        <v>0</v>
      </c>
      <c r="E179" s="1" t="s">
        <v>893</v>
      </c>
      <c r="F179" s="1"/>
      <c r="G179" s="5">
        <f>22.75</f>
        <v>22.75</v>
      </c>
      <c r="H179" s="7">
        <f t="shared" si="2"/>
        <v>0.009923534261274661</v>
      </c>
    </row>
    <row r="180" spans="1:8" ht="14.25" customHeight="1">
      <c r="A180" s="3">
        <f>0</f>
        <v>0</v>
      </c>
      <c r="B180" s="3">
        <f>1</f>
        <v>1</v>
      </c>
      <c r="C180" s="1">
        <f>0</f>
        <v>0</v>
      </c>
      <c r="D180" s="1">
        <f>0</f>
        <v>0</v>
      </c>
      <c r="E180" s="1" t="s">
        <v>1222</v>
      </c>
      <c r="F180" s="1" t="s">
        <v>378</v>
      </c>
      <c r="G180" s="5">
        <f>16.5938</f>
        <v>16.5938</v>
      </c>
      <c r="H180" s="7">
        <f t="shared" si="2"/>
        <v>0.007238204080208329</v>
      </c>
    </row>
    <row r="181" spans="1:8" ht="14.25" customHeight="1">
      <c r="A181" s="3">
        <f>0</f>
        <v>0</v>
      </c>
      <c r="B181" s="3">
        <f>1</f>
        <v>1</v>
      </c>
      <c r="C181" s="1">
        <f>0</f>
        <v>0</v>
      </c>
      <c r="D181" s="1">
        <f>0</f>
        <v>0</v>
      </c>
      <c r="E181" s="1" t="s">
        <v>1404</v>
      </c>
      <c r="F181" s="1" t="s">
        <v>35</v>
      </c>
      <c r="G181" s="5">
        <f>138.2412</f>
        <v>138.2412</v>
      </c>
      <c r="H181" s="7">
        <f t="shared" si="2"/>
        <v>0.06030071580306473</v>
      </c>
    </row>
    <row r="182" spans="1:8" ht="14.25" customHeight="1">
      <c r="A182" s="3">
        <f>3</f>
        <v>3</v>
      </c>
      <c r="B182" s="3">
        <f>1</f>
        <v>1</v>
      </c>
      <c r="C182" s="1">
        <f>0</f>
        <v>0</v>
      </c>
      <c r="D182" s="1">
        <f>0</f>
        <v>0</v>
      </c>
      <c r="E182" s="1" t="s">
        <v>775</v>
      </c>
      <c r="F182" s="1"/>
      <c r="G182" s="5">
        <f>247.4583</f>
        <v>247.4583</v>
      </c>
      <c r="H182" s="7">
        <f t="shared" si="2"/>
        <v>0.10794113926535312</v>
      </c>
    </row>
    <row r="183" spans="1:8" ht="14.25" customHeight="1">
      <c r="A183" s="3">
        <f>3</f>
        <v>3</v>
      </c>
      <c r="B183" s="3">
        <f>1</f>
        <v>1</v>
      </c>
      <c r="C183" s="1">
        <f>0</f>
        <v>0</v>
      </c>
      <c r="D183" s="1">
        <f>0</f>
        <v>0</v>
      </c>
      <c r="E183" s="1" t="s">
        <v>1192</v>
      </c>
      <c r="F183" s="1"/>
      <c r="G183" s="5">
        <f>105</f>
        <v>105</v>
      </c>
      <c r="H183" s="7">
        <f t="shared" si="2"/>
        <v>0.0458009273597292</v>
      </c>
    </row>
    <row r="184" spans="1:8" ht="14.25" customHeight="1">
      <c r="A184" s="3">
        <f>3</f>
        <v>3</v>
      </c>
      <c r="B184" s="3">
        <f>1</f>
        <v>1</v>
      </c>
      <c r="C184" s="1">
        <f>0</f>
        <v>0</v>
      </c>
      <c r="D184" s="1">
        <f>0</f>
        <v>0</v>
      </c>
      <c r="E184" s="1" t="s">
        <v>1041</v>
      </c>
      <c r="F184" s="1"/>
      <c r="G184" s="5">
        <f>43.1</f>
        <v>43.1</v>
      </c>
      <c r="H184" s="7">
        <f t="shared" si="2"/>
        <v>0.01880019018289837</v>
      </c>
    </row>
    <row r="185" spans="1:8" ht="14.25" customHeight="1">
      <c r="A185" s="3">
        <f>3</f>
        <v>3</v>
      </c>
      <c r="B185" s="3">
        <f>1</f>
        <v>1</v>
      </c>
      <c r="C185" s="1">
        <f>0</f>
        <v>0</v>
      </c>
      <c r="D185" s="1">
        <f>0</f>
        <v>0</v>
      </c>
      <c r="E185" s="1" t="s">
        <v>1235</v>
      </c>
      <c r="F185" s="1"/>
      <c r="G185" s="5">
        <f>105</f>
        <v>105</v>
      </c>
      <c r="H185" s="7">
        <f t="shared" si="2"/>
        <v>0.0458009273597292</v>
      </c>
    </row>
    <row r="186" spans="1:8" ht="14.25" customHeight="1">
      <c r="A186" s="3">
        <f>3</f>
        <v>3</v>
      </c>
      <c r="B186" s="3">
        <f>1</f>
        <v>1</v>
      </c>
      <c r="C186" s="1">
        <f>0</f>
        <v>0</v>
      </c>
      <c r="D186" s="1">
        <f>0</f>
        <v>0</v>
      </c>
      <c r="E186" s="1" t="s">
        <v>144</v>
      </c>
      <c r="F186" s="1"/>
      <c r="G186" s="5">
        <f>40.6096</f>
        <v>40.6096</v>
      </c>
      <c r="H186" s="7">
        <f t="shared" si="2"/>
        <v>0.01771387942578723</v>
      </c>
    </row>
    <row r="187" spans="1:8" ht="14.25" customHeight="1">
      <c r="A187" s="3">
        <f>3</f>
        <v>3</v>
      </c>
      <c r="B187" s="3">
        <f>1</f>
        <v>1</v>
      </c>
      <c r="C187" s="1">
        <f>0</f>
        <v>0</v>
      </c>
      <c r="D187" s="1">
        <f>0</f>
        <v>0</v>
      </c>
      <c r="E187" s="1" t="s">
        <v>1083</v>
      </c>
      <c r="F187" s="1"/>
      <c r="G187" s="5">
        <f>85.7083</f>
        <v>85.7083</v>
      </c>
      <c r="H187" s="7">
        <f t="shared" si="2"/>
        <v>0.037385901165960744</v>
      </c>
    </row>
    <row r="188" spans="1:8" ht="14.25" customHeight="1">
      <c r="A188" s="3">
        <f>0</f>
        <v>0</v>
      </c>
      <c r="B188" s="3">
        <f>1</f>
        <v>1</v>
      </c>
      <c r="C188" s="1">
        <f>0</f>
        <v>0</v>
      </c>
      <c r="D188" s="1">
        <f>0</f>
        <v>0</v>
      </c>
      <c r="E188" s="1" t="s">
        <v>96</v>
      </c>
      <c r="F188" s="1" t="s">
        <v>1234</v>
      </c>
      <c r="G188" s="5">
        <f>428.5417</f>
        <v>428.5417</v>
      </c>
      <c r="H188" s="7">
        <f t="shared" si="2"/>
        <v>0.1869295930696654</v>
      </c>
    </row>
    <row r="189" spans="1:8" ht="14.25" customHeight="1">
      <c r="A189" s="3">
        <f>3</f>
        <v>3</v>
      </c>
      <c r="B189" s="3">
        <f>1</f>
        <v>1</v>
      </c>
      <c r="C189" s="1">
        <f>0</f>
        <v>0</v>
      </c>
      <c r="D189" s="1">
        <f>0</f>
        <v>0</v>
      </c>
      <c r="E189" s="1" t="s">
        <v>1541</v>
      </c>
      <c r="F189" s="1"/>
      <c r="G189" s="5">
        <f>23.0526</f>
        <v>23.0526</v>
      </c>
      <c r="H189" s="7">
        <f t="shared" si="2"/>
        <v>0.01005552817193232</v>
      </c>
    </row>
    <row r="190" spans="1:8" ht="14.25" customHeight="1">
      <c r="A190" s="3">
        <f>3</f>
        <v>3</v>
      </c>
      <c r="B190" s="3">
        <f>1</f>
        <v>1</v>
      </c>
      <c r="C190" s="1">
        <f>0</f>
        <v>0</v>
      </c>
      <c r="D190" s="1">
        <f>0</f>
        <v>0</v>
      </c>
      <c r="E190" s="1" t="s">
        <v>878</v>
      </c>
      <c r="F190" s="1"/>
      <c r="G190" s="5">
        <f>2.537</f>
        <v>2.537</v>
      </c>
      <c r="H190" s="7">
        <f t="shared" si="2"/>
        <v>0.0011066376448726951</v>
      </c>
    </row>
    <row r="191" spans="1:8" ht="14.25" customHeight="1">
      <c r="A191" s="3">
        <f>0</f>
        <v>0</v>
      </c>
      <c r="B191" s="3">
        <f>1</f>
        <v>1</v>
      </c>
      <c r="C191" s="1">
        <f>0</f>
        <v>0</v>
      </c>
      <c r="D191" s="1">
        <f>0</f>
        <v>0</v>
      </c>
      <c r="E191" s="1" t="s">
        <v>1504</v>
      </c>
      <c r="F191" s="1" t="s">
        <v>1526</v>
      </c>
      <c r="G191" s="5">
        <f>14.3667</f>
        <v>14.3667</v>
      </c>
      <c r="H191" s="7">
        <f t="shared" si="2"/>
        <v>0.006266744600943063</v>
      </c>
    </row>
    <row r="192" spans="1:8" ht="14.25" customHeight="1">
      <c r="A192" s="3">
        <f>3</f>
        <v>3</v>
      </c>
      <c r="B192" s="3">
        <f>1</f>
        <v>1</v>
      </c>
      <c r="C192" s="1">
        <f>0</f>
        <v>0</v>
      </c>
      <c r="D192" s="1">
        <f>0</f>
        <v>0</v>
      </c>
      <c r="E192" s="1" t="s">
        <v>168</v>
      </c>
      <c r="F192" s="1"/>
      <c r="G192" s="5">
        <f>156</f>
        <v>156</v>
      </c>
      <c r="H192" s="7">
        <f t="shared" si="2"/>
        <v>0.06804709207731197</v>
      </c>
    </row>
    <row r="193" spans="1:8" ht="14.25" customHeight="1">
      <c r="A193" s="3">
        <f>3</f>
        <v>3</v>
      </c>
      <c r="B193" s="3">
        <f>1</f>
        <v>1</v>
      </c>
      <c r="C193" s="1">
        <f>0</f>
        <v>0</v>
      </c>
      <c r="D193" s="1">
        <f>0</f>
        <v>0</v>
      </c>
      <c r="E193" s="1" t="s">
        <v>250</v>
      </c>
      <c r="F193" s="1"/>
      <c r="G193" s="5">
        <f>8</f>
        <v>8</v>
      </c>
      <c r="H193" s="7">
        <f t="shared" si="2"/>
        <v>0.0034895944655031776</v>
      </c>
    </row>
    <row r="194" spans="1:8" ht="14.25" customHeight="1">
      <c r="A194" s="3">
        <f>0</f>
        <v>0</v>
      </c>
      <c r="B194" s="3">
        <f>1</f>
        <v>1</v>
      </c>
      <c r="C194" s="1">
        <f>0</f>
        <v>0</v>
      </c>
      <c r="D194" s="1">
        <f>0</f>
        <v>0</v>
      </c>
      <c r="E194" s="1" t="s">
        <v>418</v>
      </c>
      <c r="F194" s="1" t="s">
        <v>1269</v>
      </c>
      <c r="G194" s="5">
        <f>161.75</f>
        <v>161.75</v>
      </c>
      <c r="H194" s="7">
        <f aca="true" t="shared" si="3" ref="H194:H257">SUM(100/229253*G$1:G$65536)</f>
        <v>0.07055523809939238</v>
      </c>
    </row>
    <row r="195" spans="1:8" ht="14.25" customHeight="1">
      <c r="A195" s="3">
        <f>3</f>
        <v>3</v>
      </c>
      <c r="B195" s="3">
        <f>1</f>
        <v>1</v>
      </c>
      <c r="C195" s="1">
        <f>0</f>
        <v>0</v>
      </c>
      <c r="D195" s="1">
        <f>0</f>
        <v>0</v>
      </c>
      <c r="E195" s="1" t="s">
        <v>989</v>
      </c>
      <c r="F195" s="1"/>
      <c r="G195" s="5">
        <f>14.5093</f>
        <v>14.5093</v>
      </c>
      <c r="H195" s="7">
        <f t="shared" si="3"/>
        <v>0.006328946622290657</v>
      </c>
    </row>
    <row r="196" spans="1:8" ht="14.25" customHeight="1">
      <c r="A196" s="3">
        <f>3</f>
        <v>3</v>
      </c>
      <c r="B196" s="3">
        <f>1</f>
        <v>1</v>
      </c>
      <c r="C196" s="1">
        <f>0</f>
        <v>0</v>
      </c>
      <c r="D196" s="1">
        <f>0</f>
        <v>0</v>
      </c>
      <c r="E196" s="1" t="s">
        <v>123</v>
      </c>
      <c r="F196" s="1"/>
      <c r="G196" s="5">
        <f>105</f>
        <v>105</v>
      </c>
      <c r="H196" s="7">
        <f t="shared" si="3"/>
        <v>0.0458009273597292</v>
      </c>
    </row>
    <row r="197" spans="1:8" ht="14.25" customHeight="1">
      <c r="A197" s="3">
        <f>3</f>
        <v>3</v>
      </c>
      <c r="B197" s="3">
        <f>1</f>
        <v>1</v>
      </c>
      <c r="C197" s="1">
        <f>0</f>
        <v>0</v>
      </c>
      <c r="D197" s="1">
        <f>0</f>
        <v>0</v>
      </c>
      <c r="E197" s="1" t="s">
        <v>274</v>
      </c>
      <c r="F197" s="1"/>
      <c r="G197" s="5">
        <f>123.625</f>
        <v>123.625</v>
      </c>
      <c r="H197" s="7">
        <f t="shared" si="3"/>
        <v>0.053925139474728795</v>
      </c>
    </row>
    <row r="198" spans="1:8" ht="14.25" customHeight="1">
      <c r="A198" s="3">
        <f>3</f>
        <v>3</v>
      </c>
      <c r="B198" s="3">
        <f>1</f>
        <v>1</v>
      </c>
      <c r="C198" s="1">
        <f>0</f>
        <v>0</v>
      </c>
      <c r="D198" s="1">
        <f>0</f>
        <v>0</v>
      </c>
      <c r="E198" s="1" t="s">
        <v>507</v>
      </c>
      <c r="F198" s="1"/>
      <c r="G198" s="5">
        <f>27.1179</f>
        <v>27.1179</v>
      </c>
      <c r="H198" s="7">
        <f t="shared" si="3"/>
        <v>0.011828809219508577</v>
      </c>
    </row>
    <row r="199" spans="1:8" ht="14.25" customHeight="1">
      <c r="A199" s="3">
        <f>3</f>
        <v>3</v>
      </c>
      <c r="B199" s="3">
        <f>1</f>
        <v>1</v>
      </c>
      <c r="C199" s="1">
        <f>0</f>
        <v>0</v>
      </c>
      <c r="D199" s="1">
        <f>0</f>
        <v>0</v>
      </c>
      <c r="E199" s="1" t="s">
        <v>1042</v>
      </c>
      <c r="F199" s="1"/>
      <c r="G199" s="5">
        <f>6.787</f>
        <v>6.787</v>
      </c>
      <c r="H199" s="7">
        <f t="shared" si="3"/>
        <v>0.002960484704671258</v>
      </c>
    </row>
    <row r="200" spans="1:8" ht="14.25" customHeight="1">
      <c r="A200" s="3">
        <f>3</f>
        <v>3</v>
      </c>
      <c r="B200" s="3">
        <f>1</f>
        <v>1</v>
      </c>
      <c r="C200" s="1">
        <f>0</f>
        <v>0</v>
      </c>
      <c r="D200" s="1">
        <f>0</f>
        <v>0</v>
      </c>
      <c r="E200" s="1" t="s">
        <v>38</v>
      </c>
      <c r="F200" s="1"/>
      <c r="G200" s="5">
        <f>8.4167</f>
        <v>8.4167</v>
      </c>
      <c r="H200" s="7">
        <f t="shared" si="3"/>
        <v>0.0036713587172250745</v>
      </c>
    </row>
    <row r="201" spans="1:8" ht="14.25" customHeight="1">
      <c r="A201" s="3">
        <f>3</f>
        <v>3</v>
      </c>
      <c r="B201" s="3">
        <f>1</f>
        <v>1</v>
      </c>
      <c r="C201" s="1">
        <f>0</f>
        <v>0</v>
      </c>
      <c r="D201" s="1">
        <f>0</f>
        <v>0</v>
      </c>
      <c r="E201" s="1" t="s">
        <v>1154</v>
      </c>
      <c r="F201" s="1"/>
      <c r="G201" s="5">
        <f>85.7083</f>
        <v>85.7083</v>
      </c>
      <c r="H201" s="7">
        <f t="shared" si="3"/>
        <v>0.037385901165960744</v>
      </c>
    </row>
    <row r="202" spans="1:8" ht="14.25" customHeight="1">
      <c r="A202" s="3">
        <f>3</f>
        <v>3</v>
      </c>
      <c r="B202" s="3">
        <f>1</f>
        <v>1</v>
      </c>
      <c r="C202" s="1">
        <f>0</f>
        <v>0</v>
      </c>
      <c r="D202" s="1">
        <f>0</f>
        <v>0</v>
      </c>
      <c r="E202" s="1" t="s">
        <v>145</v>
      </c>
      <c r="F202" s="1"/>
      <c r="G202" s="5">
        <f>33.5964</f>
        <v>33.5964</v>
      </c>
      <c r="H202" s="7">
        <f t="shared" si="3"/>
        <v>0.014654726437603871</v>
      </c>
    </row>
    <row r="203" spans="1:8" ht="14.25" customHeight="1">
      <c r="A203" s="3">
        <f>0</f>
        <v>0</v>
      </c>
      <c r="B203" s="3">
        <f>1</f>
        <v>1</v>
      </c>
      <c r="C203" s="1">
        <f>0</f>
        <v>0</v>
      </c>
      <c r="D203" s="1">
        <f>0</f>
        <v>0</v>
      </c>
      <c r="E203" s="1" t="s">
        <v>386</v>
      </c>
      <c r="F203" s="1" t="s">
        <v>293</v>
      </c>
      <c r="G203" s="5">
        <f>645</f>
        <v>645</v>
      </c>
      <c r="H203" s="7">
        <f t="shared" si="3"/>
        <v>0.2813485537811937</v>
      </c>
    </row>
    <row r="204" spans="1:8" ht="14.25" customHeight="1">
      <c r="A204" s="3">
        <f>3</f>
        <v>3</v>
      </c>
      <c r="B204" s="3">
        <f>1</f>
        <v>1</v>
      </c>
      <c r="C204" s="1">
        <f>0</f>
        <v>0</v>
      </c>
      <c r="D204" s="1">
        <f>0</f>
        <v>0</v>
      </c>
      <c r="E204" s="1" t="s">
        <v>687</v>
      </c>
      <c r="F204" s="1"/>
      <c r="G204" s="5">
        <f>377.9167</f>
        <v>377.9167</v>
      </c>
      <c r="H204" s="7">
        <f t="shared" si="3"/>
        <v>0.1648470030926531</v>
      </c>
    </row>
    <row r="205" spans="1:8" ht="14.25" customHeight="1">
      <c r="A205" s="3">
        <f>0</f>
        <v>0</v>
      </c>
      <c r="B205" s="3">
        <f>1</f>
        <v>1</v>
      </c>
      <c r="C205" s="1">
        <f>0</f>
        <v>0</v>
      </c>
      <c r="D205" s="1">
        <f>0</f>
        <v>0</v>
      </c>
      <c r="E205" s="1" t="s">
        <v>1107</v>
      </c>
      <c r="F205" s="1" t="s">
        <v>1589</v>
      </c>
      <c r="G205" s="5">
        <f>259</f>
        <v>259</v>
      </c>
      <c r="H205" s="7">
        <f t="shared" si="3"/>
        <v>0.11297562082066538</v>
      </c>
    </row>
    <row r="206" spans="1:8" ht="14.25" customHeight="1">
      <c r="A206" s="3">
        <f>3</f>
        <v>3</v>
      </c>
      <c r="B206" s="3">
        <f>1</f>
        <v>1</v>
      </c>
      <c r="C206" s="1">
        <f>0</f>
        <v>0</v>
      </c>
      <c r="D206" s="1">
        <f>0</f>
        <v>0</v>
      </c>
      <c r="E206" s="1" t="s">
        <v>688</v>
      </c>
      <c r="F206" s="1"/>
      <c r="G206" s="5">
        <f>53.4</f>
        <v>53.4</v>
      </c>
      <c r="H206" s="7">
        <f t="shared" si="3"/>
        <v>0.02329304305723371</v>
      </c>
    </row>
    <row r="207" spans="1:8" ht="14.25" customHeight="1">
      <c r="A207" s="3">
        <f>3</f>
        <v>3</v>
      </c>
      <c r="B207" s="3">
        <f>1</f>
        <v>1</v>
      </c>
      <c r="C207" s="1">
        <f>0</f>
        <v>0</v>
      </c>
      <c r="D207" s="1">
        <f>0</f>
        <v>0</v>
      </c>
      <c r="E207" s="1" t="s">
        <v>700</v>
      </c>
      <c r="F207" s="1"/>
      <c r="G207" s="5">
        <f>450.1429</f>
        <v>450.1429</v>
      </c>
      <c r="H207" s="7">
        <f t="shared" si="3"/>
        <v>0.19635202156569379</v>
      </c>
    </row>
    <row r="208" spans="1:8" ht="14.25" customHeight="1">
      <c r="A208" s="3">
        <f>3</f>
        <v>3</v>
      </c>
      <c r="B208" s="3">
        <f>1</f>
        <v>1</v>
      </c>
      <c r="C208" s="1">
        <f>0</f>
        <v>0</v>
      </c>
      <c r="D208" s="1">
        <f>0</f>
        <v>0</v>
      </c>
      <c r="E208" s="1" t="s">
        <v>568</v>
      </c>
      <c r="F208" s="1"/>
      <c r="G208" s="5">
        <f>97.65</f>
        <v>97.65</v>
      </c>
      <c r="H208" s="7">
        <f t="shared" si="3"/>
        <v>0.042594862444548166</v>
      </c>
    </row>
    <row r="209" spans="1:8" ht="14.25" customHeight="1">
      <c r="A209" s="3">
        <f>0</f>
        <v>0</v>
      </c>
      <c r="B209" s="3">
        <f>1</f>
        <v>1</v>
      </c>
      <c r="C209" s="1">
        <f>0</f>
        <v>0</v>
      </c>
      <c r="D209" s="1">
        <f>0</f>
        <v>0</v>
      </c>
      <c r="E209" s="1" t="s">
        <v>463</v>
      </c>
      <c r="F209" s="1" t="s">
        <v>1393</v>
      </c>
      <c r="G209" s="5">
        <f>11.75</f>
        <v>11.75</v>
      </c>
      <c r="H209" s="7">
        <f t="shared" si="3"/>
        <v>0.005125341871207792</v>
      </c>
    </row>
    <row r="210" spans="1:8" ht="14.25" customHeight="1">
      <c r="A210" s="3">
        <f>3</f>
        <v>3</v>
      </c>
      <c r="B210" s="3">
        <f>1</f>
        <v>1</v>
      </c>
      <c r="C210" s="1">
        <f>0</f>
        <v>0</v>
      </c>
      <c r="D210" s="1">
        <f>0</f>
        <v>0</v>
      </c>
      <c r="E210" s="1" t="s">
        <v>1108</v>
      </c>
      <c r="F210" s="1"/>
      <c r="G210" s="5">
        <f>5.7986</f>
        <v>5.7986</v>
      </c>
      <c r="H210" s="7">
        <f t="shared" si="3"/>
        <v>0.002529345308458341</v>
      </c>
    </row>
    <row r="211" spans="1:8" ht="14.25" customHeight="1">
      <c r="A211" s="3">
        <f>3</f>
        <v>3</v>
      </c>
      <c r="B211" s="3">
        <f>1</f>
        <v>1</v>
      </c>
      <c r="C211" s="1">
        <f>0</f>
        <v>0</v>
      </c>
      <c r="D211" s="1">
        <f>0</f>
        <v>0</v>
      </c>
      <c r="E211" s="1" t="s">
        <v>856</v>
      </c>
      <c r="F211" s="1"/>
      <c r="G211" s="5">
        <f>65.625</f>
        <v>65.625</v>
      </c>
      <c r="H211" s="7">
        <f t="shared" si="3"/>
        <v>0.028625579599830753</v>
      </c>
    </row>
    <row r="212" spans="1:8" ht="14.25" customHeight="1">
      <c r="A212" s="3">
        <f>3</f>
        <v>3</v>
      </c>
      <c r="B212" s="3">
        <f>1</f>
        <v>1</v>
      </c>
      <c r="C212" s="1">
        <f>0</f>
        <v>0</v>
      </c>
      <c r="D212" s="1">
        <f>0</f>
        <v>0</v>
      </c>
      <c r="E212" s="1" t="s">
        <v>956</v>
      </c>
      <c r="F212" s="1"/>
      <c r="G212" s="5">
        <f>53.4</f>
        <v>53.4</v>
      </c>
      <c r="H212" s="7">
        <f t="shared" si="3"/>
        <v>0.02329304305723371</v>
      </c>
    </row>
    <row r="213" spans="1:8" ht="14.25" customHeight="1">
      <c r="A213" s="3">
        <f>3</f>
        <v>3</v>
      </c>
      <c r="B213" s="3">
        <f>1</f>
        <v>1</v>
      </c>
      <c r="C213" s="1">
        <f>0</f>
        <v>0</v>
      </c>
      <c r="D213" s="1">
        <f>0</f>
        <v>0</v>
      </c>
      <c r="E213" s="1" t="s">
        <v>1033</v>
      </c>
      <c r="F213" s="1"/>
      <c r="G213" s="5">
        <f>184.6667</f>
        <v>184.6667</v>
      </c>
      <c r="H213" s="7">
        <f t="shared" si="3"/>
        <v>0.08055148678534195</v>
      </c>
    </row>
    <row r="214" spans="1:8" ht="14.25" customHeight="1">
      <c r="A214" s="3">
        <f>3</f>
        <v>3</v>
      </c>
      <c r="B214" s="3">
        <f>1</f>
        <v>1</v>
      </c>
      <c r="C214" s="1">
        <f>0</f>
        <v>0</v>
      </c>
      <c r="D214" s="1">
        <f>0</f>
        <v>0</v>
      </c>
      <c r="E214" s="1" t="s">
        <v>1095</v>
      </c>
      <c r="F214" s="1"/>
      <c r="G214" s="5">
        <f>331.3333</f>
        <v>331.3333</v>
      </c>
      <c r="H214" s="7">
        <f t="shared" si="3"/>
        <v>0.144527356239613</v>
      </c>
    </row>
    <row r="215" spans="1:8" ht="14.25" customHeight="1">
      <c r="A215" s="3">
        <f>3</f>
        <v>3</v>
      </c>
      <c r="B215" s="3">
        <f>1</f>
        <v>1</v>
      </c>
      <c r="C215" s="1">
        <f>0</f>
        <v>0</v>
      </c>
      <c r="D215" s="1">
        <f>0</f>
        <v>0</v>
      </c>
      <c r="E215" s="1" t="s">
        <v>1455</v>
      </c>
      <c r="F215" s="1"/>
      <c r="G215" s="5">
        <f>0.9375</f>
        <v>0.9375</v>
      </c>
      <c r="H215" s="7">
        <f t="shared" si="3"/>
        <v>0.00040893685142615364</v>
      </c>
    </row>
    <row r="216" spans="1:8" ht="14.25" customHeight="1">
      <c r="A216" s="3">
        <f>3</f>
        <v>3</v>
      </c>
      <c r="B216" s="3">
        <f>1</f>
        <v>1</v>
      </c>
      <c r="C216" s="1">
        <f>0</f>
        <v>0</v>
      </c>
      <c r="D216" s="1">
        <f>0</f>
        <v>0</v>
      </c>
      <c r="E216" s="1" t="s">
        <v>169</v>
      </c>
      <c r="F216" s="1"/>
      <c r="G216" s="5">
        <f>1.6875</f>
        <v>1.6875</v>
      </c>
      <c r="H216" s="7">
        <f t="shared" si="3"/>
        <v>0.0007360863325670766</v>
      </c>
    </row>
    <row r="217" spans="1:8" ht="14.25" customHeight="1">
      <c r="A217" s="3">
        <f>0</f>
        <v>0</v>
      </c>
      <c r="B217" s="3">
        <f>1</f>
        <v>1</v>
      </c>
      <c r="C217" s="1">
        <f>0</f>
        <v>0</v>
      </c>
      <c r="D217" s="1">
        <f>0</f>
        <v>0</v>
      </c>
      <c r="E217" s="1" t="s">
        <v>1065</v>
      </c>
      <c r="F217" s="1" t="s">
        <v>75</v>
      </c>
      <c r="G217" s="5">
        <f>11.0417</f>
        <v>11.0417</v>
      </c>
      <c r="H217" s="7">
        <f t="shared" si="3"/>
        <v>0.004816381901218305</v>
      </c>
    </row>
    <row r="218" spans="1:8" ht="14.25" customHeight="1">
      <c r="A218" s="3">
        <f>0</f>
        <v>0</v>
      </c>
      <c r="B218" s="3">
        <f>1</f>
        <v>1</v>
      </c>
      <c r="C218" s="1">
        <f>0</f>
        <v>0</v>
      </c>
      <c r="D218" s="1">
        <f>0</f>
        <v>0</v>
      </c>
      <c r="E218" s="1" t="s">
        <v>1209</v>
      </c>
      <c r="F218" s="1" t="s">
        <v>939</v>
      </c>
      <c r="G218" s="5">
        <f>173.6667</f>
        <v>173.6667</v>
      </c>
      <c r="H218" s="7">
        <f t="shared" si="3"/>
        <v>0.07575329439527509</v>
      </c>
    </row>
    <row r="219" spans="1:8" ht="14.25" customHeight="1">
      <c r="A219" s="3">
        <f>0</f>
        <v>0</v>
      </c>
      <c r="B219" s="3">
        <f>1</f>
        <v>1</v>
      </c>
      <c r="C219" s="1">
        <f>0</f>
        <v>0</v>
      </c>
      <c r="D219" s="1">
        <f>0</f>
        <v>0</v>
      </c>
      <c r="E219" s="1" t="s">
        <v>1170</v>
      </c>
      <c r="F219" s="1" t="s">
        <v>183</v>
      </c>
      <c r="G219" s="5">
        <f>283</f>
        <v>283</v>
      </c>
      <c r="H219" s="7">
        <f t="shared" si="3"/>
        <v>0.12344440421717491</v>
      </c>
    </row>
    <row r="220" spans="1:8" ht="14.25" customHeight="1">
      <c r="A220" s="3">
        <f>3</f>
        <v>3</v>
      </c>
      <c r="B220" s="3">
        <f>1</f>
        <v>1</v>
      </c>
      <c r="C220" s="1">
        <f>0</f>
        <v>0</v>
      </c>
      <c r="D220" s="1">
        <f>0</f>
        <v>0</v>
      </c>
      <c r="E220" s="1" t="s">
        <v>990</v>
      </c>
      <c r="F220" s="1"/>
      <c r="G220" s="5">
        <f>1.3125</f>
        <v>1.3125</v>
      </c>
      <c r="H220" s="7">
        <f t="shared" si="3"/>
        <v>0.0005725115919966151</v>
      </c>
    </row>
    <row r="221" spans="1:8" ht="14.25" customHeight="1">
      <c r="A221" s="3">
        <f>3</f>
        <v>3</v>
      </c>
      <c r="B221" s="3">
        <f>1</f>
        <v>1</v>
      </c>
      <c r="C221" s="1">
        <f>0</f>
        <v>0</v>
      </c>
      <c r="D221" s="1">
        <f>0</f>
        <v>0</v>
      </c>
      <c r="E221" s="1" t="s">
        <v>1236</v>
      </c>
      <c r="F221" s="1"/>
      <c r="G221" s="5">
        <f>1.3125</f>
        <v>1.3125</v>
      </c>
      <c r="H221" s="7">
        <f t="shared" si="3"/>
        <v>0.0005725115919966151</v>
      </c>
    </row>
    <row r="222" spans="1:8" ht="14.25" customHeight="1">
      <c r="A222" s="3">
        <f>3</f>
        <v>3</v>
      </c>
      <c r="B222" s="3">
        <f>1</f>
        <v>1</v>
      </c>
      <c r="C222" s="1">
        <f>0</f>
        <v>0</v>
      </c>
      <c r="D222" s="1">
        <f>0</f>
        <v>0</v>
      </c>
      <c r="E222" s="1" t="s">
        <v>589</v>
      </c>
      <c r="F222" s="1"/>
      <c r="G222" s="5">
        <f>72.875</f>
        <v>72.875</v>
      </c>
      <c r="H222" s="7">
        <f t="shared" si="3"/>
        <v>0.03178802458419301</v>
      </c>
    </row>
    <row r="223" spans="1:8" ht="14.25" customHeight="1">
      <c r="A223" s="3">
        <f>3</f>
        <v>3</v>
      </c>
      <c r="B223" s="3">
        <f>1</f>
        <v>1</v>
      </c>
      <c r="C223" s="1">
        <f>0</f>
        <v>0</v>
      </c>
      <c r="D223" s="1">
        <f>0</f>
        <v>0</v>
      </c>
      <c r="E223" s="1" t="s">
        <v>1084</v>
      </c>
      <c r="F223" s="1"/>
      <c r="G223" s="5">
        <f>48.5833</f>
        <v>48.5833</v>
      </c>
      <c r="H223" s="7">
        <f t="shared" si="3"/>
        <v>0.021192001849485068</v>
      </c>
    </row>
    <row r="224" spans="1:8" ht="14.25" customHeight="1">
      <c r="A224" s="3">
        <f>3</f>
        <v>3</v>
      </c>
      <c r="B224" s="3">
        <f>1</f>
        <v>1</v>
      </c>
      <c r="C224" s="1">
        <f>0</f>
        <v>0</v>
      </c>
      <c r="D224" s="1">
        <f>0</f>
        <v>0</v>
      </c>
      <c r="E224" s="1" t="s">
        <v>649</v>
      </c>
      <c r="F224" s="1"/>
      <c r="G224" s="5">
        <f>201.6208</f>
        <v>201.6208</v>
      </c>
      <c r="H224" s="7">
        <f t="shared" si="3"/>
        <v>0.08794685347629039</v>
      </c>
    </row>
    <row r="225" spans="1:8" ht="14.25" customHeight="1">
      <c r="A225" s="3">
        <f>0</f>
        <v>0</v>
      </c>
      <c r="B225" s="3">
        <f>1</f>
        <v>1</v>
      </c>
      <c r="C225" s="1">
        <f>0</f>
        <v>0</v>
      </c>
      <c r="D225" s="1">
        <f>0</f>
        <v>0</v>
      </c>
      <c r="E225" s="1" t="s">
        <v>1171</v>
      </c>
      <c r="F225" s="1" t="s">
        <v>535</v>
      </c>
      <c r="G225" s="5">
        <f>14</f>
        <v>14</v>
      </c>
      <c r="H225" s="7">
        <f t="shared" si="3"/>
        <v>0.006106790314630561</v>
      </c>
    </row>
    <row r="226" spans="1:8" ht="14.25" customHeight="1">
      <c r="A226" s="3">
        <f>0</f>
        <v>0</v>
      </c>
      <c r="B226" s="3">
        <f>1</f>
        <v>1</v>
      </c>
      <c r="C226" s="1">
        <f>0</f>
        <v>0</v>
      </c>
      <c r="D226" s="1">
        <f>0</f>
        <v>0</v>
      </c>
      <c r="E226" s="1" t="s">
        <v>1210</v>
      </c>
      <c r="F226" s="1" t="s">
        <v>262</v>
      </c>
      <c r="G226" s="5">
        <f>101.0804</f>
        <v>101.0804</v>
      </c>
      <c r="H226" s="7">
        <f t="shared" si="3"/>
        <v>0.04409120055135592</v>
      </c>
    </row>
    <row r="227" spans="1:8" ht="14.25" customHeight="1">
      <c r="A227" s="3">
        <f>3</f>
        <v>3</v>
      </c>
      <c r="B227" s="3">
        <f>1</f>
        <v>1</v>
      </c>
      <c r="C227" s="1">
        <f>0</f>
        <v>0</v>
      </c>
      <c r="D227" s="1">
        <f>0</f>
        <v>0</v>
      </c>
      <c r="E227" s="1" t="s">
        <v>957</v>
      </c>
      <c r="F227" s="1"/>
      <c r="G227" s="5">
        <f>290.7563</f>
        <v>290.7563</v>
      </c>
      <c r="H227" s="7">
        <f t="shared" si="3"/>
        <v>0.12682769691127269</v>
      </c>
    </row>
    <row r="228" spans="1:8" ht="14.25" customHeight="1">
      <c r="A228" s="3">
        <f>0</f>
        <v>0</v>
      </c>
      <c r="B228" s="3">
        <f>1</f>
        <v>1</v>
      </c>
      <c r="C228" s="1">
        <f>0</f>
        <v>0</v>
      </c>
      <c r="D228" s="1">
        <f>0</f>
        <v>0</v>
      </c>
      <c r="E228" s="1" t="s">
        <v>299</v>
      </c>
      <c r="F228" s="1" t="s">
        <v>381</v>
      </c>
      <c r="G228" s="5">
        <f>167.1842</f>
        <v>167.1842</v>
      </c>
      <c r="H228" s="7">
        <f t="shared" si="3"/>
        <v>0.07292563237994705</v>
      </c>
    </row>
    <row r="229" spans="1:8" ht="14.25" customHeight="1">
      <c r="A229" s="3">
        <f>0</f>
        <v>0</v>
      </c>
      <c r="B229" s="3">
        <f>1</f>
        <v>1</v>
      </c>
      <c r="C229" s="1">
        <f>0</f>
        <v>0</v>
      </c>
      <c r="D229" s="1">
        <f>0</f>
        <v>0</v>
      </c>
      <c r="E229" s="1" t="s">
        <v>358</v>
      </c>
      <c r="F229" s="1" t="s">
        <v>137</v>
      </c>
      <c r="G229" s="5">
        <f>712.6875</f>
        <v>712.6875</v>
      </c>
      <c r="H229" s="7">
        <f t="shared" si="3"/>
        <v>0.31087379445416197</v>
      </c>
    </row>
    <row r="230" spans="1:8" ht="14.25" customHeight="1">
      <c r="A230" s="3">
        <f>0</f>
        <v>0</v>
      </c>
      <c r="B230" s="3">
        <f>1</f>
        <v>1</v>
      </c>
      <c r="C230" s="1">
        <f>0</f>
        <v>0</v>
      </c>
      <c r="D230" s="1">
        <f>0</f>
        <v>0</v>
      </c>
      <c r="E230" s="1" t="s">
        <v>328</v>
      </c>
      <c r="F230" s="1" t="s">
        <v>152</v>
      </c>
      <c r="G230" s="5">
        <f>667.25</f>
        <v>667.25</v>
      </c>
      <c r="H230" s="7">
        <f t="shared" si="3"/>
        <v>0.29105398838837443</v>
      </c>
    </row>
    <row r="231" spans="1:8" ht="14.25" customHeight="1">
      <c r="A231" s="3">
        <f>3</f>
        <v>3</v>
      </c>
      <c r="B231" s="3">
        <f>1</f>
        <v>1</v>
      </c>
      <c r="C231" s="1">
        <f>0</f>
        <v>0</v>
      </c>
      <c r="D231" s="1">
        <f>0</f>
        <v>0</v>
      </c>
      <c r="E231" s="1" t="s">
        <v>569</v>
      </c>
      <c r="F231" s="1"/>
      <c r="G231" s="5">
        <f>75.4</f>
        <v>75.4</v>
      </c>
      <c r="H231" s="7">
        <f t="shared" si="3"/>
        <v>0.03288942783736745</v>
      </c>
    </row>
    <row r="232" spans="1:8" ht="14.25" customHeight="1">
      <c r="A232" s="3">
        <f>3</f>
        <v>3</v>
      </c>
      <c r="B232" s="3">
        <f>1</f>
        <v>1</v>
      </c>
      <c r="C232" s="1">
        <f>0</f>
        <v>0</v>
      </c>
      <c r="D232" s="1">
        <f>0</f>
        <v>0</v>
      </c>
      <c r="E232" s="1" t="s">
        <v>1332</v>
      </c>
      <c r="F232" s="1"/>
      <c r="G232" s="5">
        <f>112</f>
        <v>112</v>
      </c>
      <c r="H232" s="7">
        <f t="shared" si="3"/>
        <v>0.04885432251704449</v>
      </c>
    </row>
    <row r="233" spans="1:8" ht="14.25" customHeight="1">
      <c r="A233" s="3">
        <f>3</f>
        <v>3</v>
      </c>
      <c r="B233" s="3">
        <f>1</f>
        <v>1</v>
      </c>
      <c r="C233" s="1">
        <f>0</f>
        <v>0</v>
      </c>
      <c r="D233" s="1">
        <f>0</f>
        <v>0</v>
      </c>
      <c r="E233" s="1" t="s">
        <v>790</v>
      </c>
      <c r="F233" s="1"/>
      <c r="G233" s="5">
        <f>0.8</f>
        <v>0.8</v>
      </c>
      <c r="H233" s="7">
        <f t="shared" si="3"/>
        <v>0.0003489594465503178</v>
      </c>
    </row>
    <row r="234" spans="1:8" ht="14.25" customHeight="1">
      <c r="A234" s="3">
        <f>0</f>
        <v>0</v>
      </c>
      <c r="B234" s="3">
        <f>1</f>
        <v>1</v>
      </c>
      <c r="C234" s="1">
        <f>0</f>
        <v>0</v>
      </c>
      <c r="D234" s="1">
        <f>0</f>
        <v>0</v>
      </c>
      <c r="E234" s="1" t="s">
        <v>1034</v>
      </c>
      <c r="F234" s="1" t="s">
        <v>1485</v>
      </c>
      <c r="G234" s="5">
        <f>596.2</f>
        <v>596.2</v>
      </c>
      <c r="H234" s="7">
        <f t="shared" si="3"/>
        <v>0.26006202754162433</v>
      </c>
    </row>
    <row r="235" spans="1:8" ht="14.25" customHeight="1">
      <c r="A235" s="3">
        <f>3</f>
        <v>3</v>
      </c>
      <c r="B235" s="3">
        <f>1</f>
        <v>1</v>
      </c>
      <c r="C235" s="1">
        <f>0</f>
        <v>0</v>
      </c>
      <c r="D235" s="1">
        <f>0</f>
        <v>0</v>
      </c>
      <c r="E235" s="1" t="s">
        <v>833</v>
      </c>
      <c r="F235" s="1"/>
      <c r="G235" s="5">
        <f>336</f>
        <v>336</v>
      </c>
      <c r="H235" s="7">
        <f t="shared" si="3"/>
        <v>0.14656296755113346</v>
      </c>
    </row>
    <row r="236" spans="1:8" ht="14.25" customHeight="1">
      <c r="A236" s="3">
        <f>3</f>
        <v>3</v>
      </c>
      <c r="B236" s="3">
        <f>1</f>
        <v>1</v>
      </c>
      <c r="C236" s="1">
        <f>0</f>
        <v>0</v>
      </c>
      <c r="D236" s="1">
        <f>0</f>
        <v>0</v>
      </c>
      <c r="E236" s="1" t="s">
        <v>631</v>
      </c>
      <c r="F236" s="1"/>
      <c r="G236" s="5">
        <f>37.6667</f>
        <v>37.6667</v>
      </c>
      <c r="H236" s="7">
        <f t="shared" si="3"/>
        <v>0.016430188481721068</v>
      </c>
    </row>
    <row r="237" spans="1:8" ht="14.25" customHeight="1">
      <c r="A237" s="3">
        <f>3</f>
        <v>3</v>
      </c>
      <c r="B237" s="3">
        <f>1</f>
        <v>1</v>
      </c>
      <c r="C237" s="1">
        <f>0</f>
        <v>0</v>
      </c>
      <c r="D237" s="1">
        <f>0</f>
        <v>0</v>
      </c>
      <c r="E237" s="1" t="s">
        <v>1155</v>
      </c>
      <c r="F237" s="1"/>
      <c r="G237" s="5">
        <f>0.4</f>
        <v>0.4</v>
      </c>
      <c r="H237" s="7">
        <f t="shared" si="3"/>
        <v>0.0001744797232751589</v>
      </c>
    </row>
    <row r="238" spans="1:8" ht="14.25" customHeight="1">
      <c r="A238" s="3">
        <f>3</f>
        <v>3</v>
      </c>
      <c r="B238" s="3">
        <f>1</f>
        <v>1</v>
      </c>
      <c r="C238" s="1">
        <f>0</f>
        <v>0</v>
      </c>
      <c r="D238" s="1">
        <f>0</f>
        <v>0</v>
      </c>
      <c r="E238" s="1" t="s">
        <v>689</v>
      </c>
      <c r="F238" s="1"/>
      <c r="G238" s="5">
        <f>0.8</f>
        <v>0.8</v>
      </c>
      <c r="H238" s="7">
        <f t="shared" si="3"/>
        <v>0.0003489594465503178</v>
      </c>
    </row>
    <row r="239" spans="1:8" ht="14.25" customHeight="1">
      <c r="A239" s="3">
        <f>3</f>
        <v>3</v>
      </c>
      <c r="B239" s="3">
        <f>1</f>
        <v>1</v>
      </c>
      <c r="C239" s="1">
        <f>0</f>
        <v>0</v>
      </c>
      <c r="D239" s="1">
        <f>0</f>
        <v>0</v>
      </c>
      <c r="E239" s="1" t="s">
        <v>1456</v>
      </c>
      <c r="F239" s="1"/>
      <c r="G239" s="5">
        <f>1571.3333</f>
        <v>1571.3333</v>
      </c>
      <c r="H239" s="7">
        <f t="shared" si="3"/>
        <v>0.6854144983926055</v>
      </c>
    </row>
    <row r="240" spans="1:8" ht="14.25" customHeight="1">
      <c r="A240" s="3">
        <f>3</f>
        <v>3</v>
      </c>
      <c r="B240" s="3">
        <f>1</f>
        <v>1</v>
      </c>
      <c r="C240" s="1">
        <f>0</f>
        <v>0</v>
      </c>
      <c r="D240" s="1">
        <f>0</f>
        <v>0</v>
      </c>
      <c r="E240" s="1" t="s">
        <v>609</v>
      </c>
      <c r="F240" s="1"/>
      <c r="G240" s="5">
        <f>75.4</f>
        <v>75.4</v>
      </c>
      <c r="H240" s="7">
        <f t="shared" si="3"/>
        <v>0.03288942783736745</v>
      </c>
    </row>
    <row r="241" spans="1:8" ht="14.25" customHeight="1">
      <c r="A241" s="3">
        <f>3</f>
        <v>3</v>
      </c>
      <c r="B241" s="3">
        <f>1</f>
        <v>1</v>
      </c>
      <c r="C241" s="1">
        <f>0</f>
        <v>0</v>
      </c>
      <c r="D241" s="1">
        <f>0</f>
        <v>0</v>
      </c>
      <c r="E241" s="1" t="s">
        <v>810</v>
      </c>
      <c r="F241" s="1"/>
      <c r="G241" s="5">
        <f>75.4</f>
        <v>75.4</v>
      </c>
      <c r="H241" s="7">
        <f t="shared" si="3"/>
        <v>0.03288942783736745</v>
      </c>
    </row>
    <row r="242" spans="1:8" ht="14.25" customHeight="1">
      <c r="A242" s="3">
        <f>3</f>
        <v>3</v>
      </c>
      <c r="B242" s="3">
        <f>1</f>
        <v>1</v>
      </c>
      <c r="C242" s="1">
        <f>0</f>
        <v>0</v>
      </c>
      <c r="D242" s="1">
        <f>0</f>
        <v>0</v>
      </c>
      <c r="E242" s="1" t="s">
        <v>610</v>
      </c>
      <c r="F242" s="1"/>
      <c r="G242" s="5">
        <f>2.3333</f>
        <v>2.3333</v>
      </c>
      <c r="H242" s="7">
        <f t="shared" si="3"/>
        <v>0.0010177838457948204</v>
      </c>
    </row>
    <row r="243" spans="1:8" ht="14.25" customHeight="1">
      <c r="A243" s="3">
        <f>3</f>
        <v>3</v>
      </c>
      <c r="B243" s="3">
        <f>1</f>
        <v>1</v>
      </c>
      <c r="C243" s="1">
        <f>0</f>
        <v>0</v>
      </c>
      <c r="D243" s="1">
        <f>0</f>
        <v>0</v>
      </c>
      <c r="E243" s="1" t="s">
        <v>215</v>
      </c>
      <c r="F243" s="1"/>
      <c r="G243" s="5">
        <f>205</f>
        <v>205</v>
      </c>
      <c r="H243" s="7">
        <f t="shared" si="3"/>
        <v>0.08942085817851893</v>
      </c>
    </row>
    <row r="244" spans="1:8" ht="14.25" customHeight="1">
      <c r="A244" s="3">
        <f>3</f>
        <v>3</v>
      </c>
      <c r="B244" s="3">
        <f>1</f>
        <v>1</v>
      </c>
      <c r="C244" s="1">
        <f>0</f>
        <v>0</v>
      </c>
      <c r="D244" s="1">
        <f>0</f>
        <v>0</v>
      </c>
      <c r="E244" s="1" t="s">
        <v>1505</v>
      </c>
      <c r="F244" s="1"/>
      <c r="G244" s="5">
        <f>401</f>
        <v>401</v>
      </c>
      <c r="H244" s="7">
        <f t="shared" si="3"/>
        <v>0.1749159225833468</v>
      </c>
    </row>
    <row r="245" spans="1:8" ht="14.25" customHeight="1">
      <c r="A245" s="3">
        <f>3</f>
        <v>3</v>
      </c>
      <c r="B245" s="3">
        <f>1</f>
        <v>1</v>
      </c>
      <c r="C245" s="1">
        <f>0</f>
        <v>0</v>
      </c>
      <c r="D245" s="1">
        <f>0</f>
        <v>0</v>
      </c>
      <c r="E245" s="1" t="s">
        <v>216</v>
      </c>
      <c r="F245" s="1"/>
      <c r="G245" s="5">
        <f>2.3333</f>
        <v>2.3333</v>
      </c>
      <c r="H245" s="7">
        <f t="shared" si="3"/>
        <v>0.0010177838457948204</v>
      </c>
    </row>
    <row r="246" spans="1:8" ht="14.25" customHeight="1">
      <c r="A246" s="3">
        <f>3</f>
        <v>3</v>
      </c>
      <c r="B246" s="3">
        <f>1</f>
        <v>1</v>
      </c>
      <c r="C246" s="1">
        <f>0</f>
        <v>0</v>
      </c>
      <c r="D246" s="1">
        <f>0</f>
        <v>0</v>
      </c>
      <c r="E246" s="1" t="s">
        <v>1405</v>
      </c>
      <c r="F246" s="1"/>
      <c r="G246" s="5">
        <f>44.581</f>
        <v>44.581</v>
      </c>
      <c r="H246" s="7">
        <f t="shared" si="3"/>
        <v>0.019446201358324647</v>
      </c>
    </row>
    <row r="247" spans="1:8" ht="14.25" customHeight="1">
      <c r="A247" s="3">
        <f>3</f>
        <v>3</v>
      </c>
      <c r="B247" s="3">
        <f>1</f>
        <v>1</v>
      </c>
      <c r="C247" s="1">
        <f>0</f>
        <v>0</v>
      </c>
      <c r="D247" s="1">
        <f>0</f>
        <v>0</v>
      </c>
      <c r="E247" s="1" t="s">
        <v>570</v>
      </c>
      <c r="F247" s="1"/>
      <c r="G247" s="5">
        <f>19.6184</f>
        <v>19.6184</v>
      </c>
      <c r="H247" s="7">
        <f t="shared" si="3"/>
        <v>0.008557532507753443</v>
      </c>
    </row>
    <row r="248" spans="1:8" ht="14.25" customHeight="1">
      <c r="A248" s="3">
        <f>3</f>
        <v>3</v>
      </c>
      <c r="B248" s="3">
        <f>1</f>
        <v>1</v>
      </c>
      <c r="C248" s="1">
        <f>0</f>
        <v>0</v>
      </c>
      <c r="D248" s="1">
        <f>0</f>
        <v>0</v>
      </c>
      <c r="E248" s="1" t="s">
        <v>690</v>
      </c>
      <c r="F248" s="1"/>
      <c r="G248" s="5">
        <f>29.5</f>
        <v>29.5</v>
      </c>
      <c r="H248" s="7">
        <f t="shared" si="3"/>
        <v>0.012867879591542968</v>
      </c>
    </row>
    <row r="249" spans="1:8" ht="14.25" customHeight="1">
      <c r="A249" s="3">
        <f>3</f>
        <v>3</v>
      </c>
      <c r="B249" s="3">
        <f>1</f>
        <v>1</v>
      </c>
      <c r="C249" s="1">
        <f>0</f>
        <v>0</v>
      </c>
      <c r="D249" s="1">
        <f>0</f>
        <v>0</v>
      </c>
      <c r="E249" s="1" t="s">
        <v>581</v>
      </c>
      <c r="F249" s="1"/>
      <c r="G249" s="5">
        <f>63.325</f>
        <v>63.325</v>
      </c>
      <c r="H249" s="7">
        <f t="shared" si="3"/>
        <v>0.02762232119099859</v>
      </c>
    </row>
    <row r="250" spans="1:8" ht="14.25" customHeight="1">
      <c r="A250" s="3">
        <f>3</f>
        <v>3</v>
      </c>
      <c r="B250" s="3">
        <f>1</f>
        <v>1</v>
      </c>
      <c r="C250" s="1">
        <f>0</f>
        <v>0</v>
      </c>
      <c r="D250" s="1">
        <f>0</f>
        <v>0</v>
      </c>
      <c r="E250" s="1" t="s">
        <v>742</v>
      </c>
      <c r="F250" s="1"/>
      <c r="G250" s="5">
        <f>36.9167</f>
        <v>36.9167</v>
      </c>
      <c r="H250" s="7">
        <f t="shared" si="3"/>
        <v>0.016103039000580143</v>
      </c>
    </row>
    <row r="251" spans="1:8" ht="14.25" customHeight="1">
      <c r="A251" s="3">
        <f>3</f>
        <v>3</v>
      </c>
      <c r="B251" s="3">
        <f>1</f>
        <v>1</v>
      </c>
      <c r="C251" s="1">
        <f>0</f>
        <v>0</v>
      </c>
      <c r="D251" s="1">
        <f>0</f>
        <v>0</v>
      </c>
      <c r="E251" s="1" t="s">
        <v>691</v>
      </c>
      <c r="F251" s="1"/>
      <c r="G251" s="5">
        <f>36.9167</f>
        <v>36.9167</v>
      </c>
      <c r="H251" s="7">
        <f t="shared" si="3"/>
        <v>0.016103039000580143</v>
      </c>
    </row>
    <row r="252" spans="1:8" ht="14.25" customHeight="1">
      <c r="A252" s="3">
        <f>3</f>
        <v>3</v>
      </c>
      <c r="B252" s="3">
        <f>1</f>
        <v>1</v>
      </c>
      <c r="C252" s="1">
        <f>0</f>
        <v>0</v>
      </c>
      <c r="D252" s="1">
        <f>0</f>
        <v>0</v>
      </c>
      <c r="E252" s="1" t="s">
        <v>991</v>
      </c>
      <c r="F252" s="1"/>
      <c r="G252" s="5">
        <f>45.625</f>
        <v>45.625</v>
      </c>
      <c r="H252" s="7">
        <f t="shared" si="3"/>
        <v>0.01990159343607281</v>
      </c>
    </row>
    <row r="253" spans="1:8" ht="14.25" customHeight="1">
      <c r="A253" s="3">
        <f>3</f>
        <v>3</v>
      </c>
      <c r="B253" s="3">
        <f>1</f>
        <v>1</v>
      </c>
      <c r="C253" s="1">
        <f>0</f>
        <v>0</v>
      </c>
      <c r="D253" s="1">
        <f>0</f>
        <v>0</v>
      </c>
      <c r="E253" s="1" t="s">
        <v>719</v>
      </c>
      <c r="F253" s="1"/>
      <c r="G253" s="5">
        <f>30.0125</f>
        <v>30.0125</v>
      </c>
      <c r="H253" s="7">
        <f t="shared" si="3"/>
        <v>0.013091431736989264</v>
      </c>
    </row>
    <row r="254" spans="1:8" ht="14.25" customHeight="1">
      <c r="A254" s="3">
        <f>3</f>
        <v>3</v>
      </c>
      <c r="B254" s="3">
        <f>1</f>
        <v>1</v>
      </c>
      <c r="C254" s="1">
        <f>0</f>
        <v>0</v>
      </c>
      <c r="D254" s="1">
        <f>0</f>
        <v>0</v>
      </c>
      <c r="E254" s="1" t="s">
        <v>720</v>
      </c>
      <c r="F254" s="1"/>
      <c r="G254" s="5">
        <f>1.8</f>
        <v>1.8</v>
      </c>
      <c r="H254" s="7">
        <f t="shared" si="3"/>
        <v>0.000785158754738215</v>
      </c>
    </row>
    <row r="255" spans="1:8" ht="14.25" customHeight="1">
      <c r="A255" s="3">
        <f>3</f>
        <v>3</v>
      </c>
      <c r="B255" s="3">
        <f>1</f>
        <v>1</v>
      </c>
      <c r="C255" s="1">
        <f>0</f>
        <v>0</v>
      </c>
      <c r="D255" s="1">
        <f>0</f>
        <v>0</v>
      </c>
      <c r="E255" s="1" t="s">
        <v>1333</v>
      </c>
      <c r="F255" s="1"/>
      <c r="G255" s="5">
        <f>65.5</f>
        <v>65.5</v>
      </c>
      <c r="H255" s="7">
        <f t="shared" si="3"/>
        <v>0.028571054686307266</v>
      </c>
    </row>
    <row r="256" spans="1:8" ht="14.25" customHeight="1">
      <c r="A256" s="3">
        <f>3</f>
        <v>3</v>
      </c>
      <c r="B256" s="3">
        <f>1</f>
        <v>1</v>
      </c>
      <c r="C256" s="1">
        <f>0</f>
        <v>0</v>
      </c>
      <c r="D256" s="1">
        <f>0</f>
        <v>0</v>
      </c>
      <c r="E256" s="1" t="s">
        <v>761</v>
      </c>
      <c r="F256" s="1"/>
      <c r="G256" s="5">
        <f>126.8056</f>
        <v>126.8056</v>
      </c>
      <c r="H256" s="7">
        <f t="shared" si="3"/>
        <v>0.05531251499435122</v>
      </c>
    </row>
    <row r="257" spans="1:8" ht="14.25" customHeight="1">
      <c r="A257" s="3">
        <f>3</f>
        <v>3</v>
      </c>
      <c r="B257" s="3">
        <f>1</f>
        <v>1</v>
      </c>
      <c r="C257" s="1">
        <f>0</f>
        <v>0</v>
      </c>
      <c r="D257" s="1">
        <f>0</f>
        <v>0</v>
      </c>
      <c r="E257" s="1" t="s">
        <v>834</v>
      </c>
      <c r="F257" s="1"/>
      <c r="G257" s="5">
        <f>74.5</f>
        <v>74.5</v>
      </c>
      <c r="H257" s="7">
        <f t="shared" si="3"/>
        <v>0.03249684845999834</v>
      </c>
    </row>
    <row r="258" spans="1:8" ht="14.25" customHeight="1">
      <c r="A258" s="3">
        <f>0</f>
        <v>0</v>
      </c>
      <c r="B258" s="3">
        <f>1</f>
        <v>1</v>
      </c>
      <c r="C258" s="1">
        <f>0</f>
        <v>0</v>
      </c>
      <c r="D258" s="1">
        <f>0</f>
        <v>0</v>
      </c>
      <c r="E258" s="1" t="s">
        <v>835</v>
      </c>
      <c r="F258" s="1" t="s">
        <v>1029</v>
      </c>
      <c r="G258" s="5">
        <f>110.0532</f>
        <v>110.0532</v>
      </c>
      <c r="H258" s="7">
        <f aca="true" t="shared" si="4" ref="H258:H321">SUM(100/229253*G$1:G$65536)</f>
        <v>0.04800512970386429</v>
      </c>
    </row>
    <row r="259" spans="1:8" ht="14.25" customHeight="1">
      <c r="A259" s="3">
        <f>0</f>
        <v>0</v>
      </c>
      <c r="B259" s="3">
        <f>1</f>
        <v>1</v>
      </c>
      <c r="C259" s="1">
        <f>0</f>
        <v>0</v>
      </c>
      <c r="D259" s="1">
        <f>0</f>
        <v>0</v>
      </c>
      <c r="E259" s="1" t="s">
        <v>811</v>
      </c>
      <c r="F259" s="1" t="s">
        <v>1583</v>
      </c>
      <c r="G259" s="5">
        <f>33.2976</f>
        <v>33.2976</v>
      </c>
      <c r="H259" s="7">
        <f t="shared" si="4"/>
        <v>0.014524390084317327</v>
      </c>
    </row>
    <row r="260" spans="1:8" ht="14.25" customHeight="1">
      <c r="A260" s="3">
        <f>3</f>
        <v>3</v>
      </c>
      <c r="B260" s="3">
        <f>1</f>
        <v>1</v>
      </c>
      <c r="C260" s="1">
        <f>0</f>
        <v>0</v>
      </c>
      <c r="D260" s="1">
        <f>0</f>
        <v>0</v>
      </c>
      <c r="E260" s="1" t="s">
        <v>762</v>
      </c>
      <c r="F260" s="1"/>
      <c r="G260" s="5">
        <f>110.25</f>
        <v>110.25</v>
      </c>
      <c r="H260" s="7">
        <f t="shared" si="4"/>
        <v>0.04809097372771567</v>
      </c>
    </row>
    <row r="261" spans="1:8" ht="14.25" customHeight="1">
      <c r="A261" s="3">
        <f>3</f>
        <v>3</v>
      </c>
      <c r="B261" s="3">
        <f>1</f>
        <v>1</v>
      </c>
      <c r="C261" s="1">
        <f>0</f>
        <v>0</v>
      </c>
      <c r="D261" s="1">
        <f>0</f>
        <v>0</v>
      </c>
      <c r="E261" s="1" t="s">
        <v>721</v>
      </c>
      <c r="F261" s="1"/>
      <c r="G261" s="5">
        <f>1.2</f>
        <v>1.2</v>
      </c>
      <c r="H261" s="7">
        <f t="shared" si="4"/>
        <v>0.0005234391698254766</v>
      </c>
    </row>
    <row r="262" spans="1:8" ht="14.25" customHeight="1">
      <c r="A262" s="3">
        <f>3</f>
        <v>3</v>
      </c>
      <c r="B262" s="3">
        <f>1</f>
        <v>1</v>
      </c>
      <c r="C262" s="1">
        <f>0</f>
        <v>0</v>
      </c>
      <c r="D262" s="1">
        <f>0</f>
        <v>0</v>
      </c>
      <c r="E262" s="1" t="s">
        <v>1308</v>
      </c>
      <c r="F262" s="1"/>
      <c r="G262" s="5">
        <f>36.9167</f>
        <v>36.9167</v>
      </c>
      <c r="H262" s="7">
        <f t="shared" si="4"/>
        <v>0.016103039000580143</v>
      </c>
    </row>
    <row r="263" spans="1:8" ht="14.25" customHeight="1">
      <c r="A263" s="3">
        <f>3</f>
        <v>3</v>
      </c>
      <c r="B263" s="3">
        <f>1</f>
        <v>1</v>
      </c>
      <c r="C263" s="1">
        <f>0</f>
        <v>0</v>
      </c>
      <c r="D263" s="1">
        <f>0</f>
        <v>0</v>
      </c>
      <c r="E263" s="1" t="s">
        <v>820</v>
      </c>
      <c r="F263" s="1"/>
      <c r="G263" s="5">
        <f>3.619</f>
        <v>3.619</v>
      </c>
      <c r="H263" s="7">
        <f t="shared" si="4"/>
        <v>0.001578605296332</v>
      </c>
    </row>
    <row r="264" spans="1:8" ht="14.25" customHeight="1">
      <c r="A264" s="3">
        <f>3</f>
        <v>3</v>
      </c>
      <c r="B264" s="3">
        <f>1</f>
        <v>1</v>
      </c>
      <c r="C264" s="1">
        <f>0</f>
        <v>0</v>
      </c>
      <c r="D264" s="1">
        <f>0</f>
        <v>0</v>
      </c>
      <c r="E264" s="1" t="s">
        <v>660</v>
      </c>
      <c r="F264" s="1"/>
      <c r="G264" s="5">
        <f>84</f>
        <v>84</v>
      </c>
      <c r="H264" s="7">
        <f t="shared" si="4"/>
        <v>0.036640741887783365</v>
      </c>
    </row>
    <row r="265" spans="1:8" ht="14.25" customHeight="1">
      <c r="A265" s="3">
        <f>0</f>
        <v>0</v>
      </c>
      <c r="B265" s="3">
        <f>1</f>
        <v>1</v>
      </c>
      <c r="C265" s="1">
        <f>0</f>
        <v>0</v>
      </c>
      <c r="D265" s="1">
        <f>0</f>
        <v>0</v>
      </c>
      <c r="E265" s="1" t="s">
        <v>857</v>
      </c>
      <c r="F265" s="1" t="s">
        <v>1064</v>
      </c>
      <c r="G265" s="5">
        <f>162.9907</f>
        <v>162.9907</v>
      </c>
      <c r="H265" s="7">
        <f t="shared" si="4"/>
        <v>0.0710964305810611</v>
      </c>
    </row>
    <row r="266" spans="1:8" ht="14.25" customHeight="1">
      <c r="A266" s="3">
        <f>0</f>
        <v>0</v>
      </c>
      <c r="B266" s="3">
        <f>1</f>
        <v>1</v>
      </c>
      <c r="C266" s="1">
        <f>0</f>
        <v>0</v>
      </c>
      <c r="D266" s="1">
        <f>0</f>
        <v>0</v>
      </c>
      <c r="E266" s="1" t="s">
        <v>858</v>
      </c>
      <c r="F266" s="1" t="s">
        <v>1062</v>
      </c>
      <c r="G266" s="5">
        <f>422.125</f>
        <v>422.125</v>
      </c>
      <c r="H266" s="7">
        <f t="shared" si="4"/>
        <v>0.1841306329688161</v>
      </c>
    </row>
    <row r="267" spans="1:8" ht="14.25" customHeight="1">
      <c r="A267" s="3">
        <f>3</f>
        <v>3</v>
      </c>
      <c r="B267" s="3">
        <f>1</f>
        <v>1</v>
      </c>
      <c r="C267" s="1">
        <f>0</f>
        <v>0</v>
      </c>
      <c r="D267" s="1">
        <f>0</f>
        <v>0</v>
      </c>
      <c r="E267" s="1" t="s">
        <v>1309</v>
      </c>
      <c r="F267" s="1"/>
      <c r="G267" s="5">
        <f>184</f>
        <v>184</v>
      </c>
      <c r="H267" s="7">
        <f t="shared" si="4"/>
        <v>0.08026067270657308</v>
      </c>
    </row>
    <row r="268" spans="1:8" ht="14.25" customHeight="1">
      <c r="A268" s="3">
        <f>3</f>
        <v>3</v>
      </c>
      <c r="B268" s="3">
        <f>1</f>
        <v>1</v>
      </c>
      <c r="C268" s="1">
        <f>0</f>
        <v>0</v>
      </c>
      <c r="D268" s="1">
        <f>0</f>
        <v>0</v>
      </c>
      <c r="E268" s="1" t="s">
        <v>704</v>
      </c>
      <c r="F268" s="1"/>
      <c r="G268" s="5">
        <f>27.5833</f>
        <v>27.5833</v>
      </c>
      <c r="H268" s="7">
        <f t="shared" si="4"/>
        <v>0.012031816377539225</v>
      </c>
    </row>
    <row r="269" spans="1:8" ht="14.25" customHeight="1">
      <c r="A269" s="3">
        <f>3</f>
        <v>3</v>
      </c>
      <c r="B269" s="3">
        <f>1</f>
        <v>1</v>
      </c>
      <c r="C269" s="1">
        <f>0</f>
        <v>0</v>
      </c>
      <c r="D269" s="1">
        <f>0</f>
        <v>0</v>
      </c>
      <c r="E269" s="1" t="s">
        <v>692</v>
      </c>
      <c r="F269" s="1"/>
      <c r="G269" s="5">
        <f>36.9167</f>
        <v>36.9167</v>
      </c>
      <c r="H269" s="7">
        <f t="shared" si="4"/>
        <v>0.016103039000580143</v>
      </c>
    </row>
    <row r="270" spans="1:8" ht="14.25" customHeight="1">
      <c r="A270" s="3">
        <f>3</f>
        <v>3</v>
      </c>
      <c r="B270" s="3">
        <f>1</f>
        <v>1</v>
      </c>
      <c r="C270" s="1">
        <f>0</f>
        <v>0</v>
      </c>
      <c r="D270" s="1">
        <f>0</f>
        <v>0</v>
      </c>
      <c r="E270" s="1" t="s">
        <v>571</v>
      </c>
      <c r="F270" s="1"/>
      <c r="G270" s="5">
        <f>127.1667</f>
        <v>127.1667</v>
      </c>
      <c r="H270" s="7">
        <f t="shared" si="4"/>
        <v>0.055470026564537867</v>
      </c>
    </row>
    <row r="271" spans="1:8" ht="14.25" customHeight="1">
      <c r="A271" s="3">
        <f>3</f>
        <v>3</v>
      </c>
      <c r="B271" s="3">
        <f>1</f>
        <v>1</v>
      </c>
      <c r="C271" s="1">
        <f>0</f>
        <v>0</v>
      </c>
      <c r="D271" s="1">
        <f>0</f>
        <v>0</v>
      </c>
      <c r="E271" s="1" t="s">
        <v>1272</v>
      </c>
      <c r="F271" s="1"/>
      <c r="G271" s="5">
        <f>54.1917</f>
        <v>54.1917</v>
      </c>
      <c r="H271" s="7">
        <f t="shared" si="4"/>
        <v>0.023638382049526067</v>
      </c>
    </row>
    <row r="272" spans="1:8" ht="14.25" customHeight="1">
      <c r="A272" s="3">
        <f>3</f>
        <v>3</v>
      </c>
      <c r="B272" s="3">
        <f>1</f>
        <v>1</v>
      </c>
      <c r="C272" s="1">
        <f>0</f>
        <v>0</v>
      </c>
      <c r="D272" s="1">
        <f>0</f>
        <v>0</v>
      </c>
      <c r="E272" s="1" t="s">
        <v>1359</v>
      </c>
      <c r="F272" s="1"/>
      <c r="G272" s="5">
        <f>110.081</f>
        <v>110.081</v>
      </c>
      <c r="H272" s="7">
        <f t="shared" si="4"/>
        <v>0.04801725604463191</v>
      </c>
    </row>
    <row r="273" spans="1:8" ht="14.25" customHeight="1">
      <c r="A273" s="3">
        <f>3</f>
        <v>3</v>
      </c>
      <c r="B273" s="3">
        <f>1</f>
        <v>1</v>
      </c>
      <c r="C273" s="1">
        <f>0</f>
        <v>0</v>
      </c>
      <c r="D273" s="1">
        <f>0</f>
        <v>0</v>
      </c>
      <c r="E273" s="1" t="s">
        <v>1406</v>
      </c>
      <c r="F273" s="1"/>
      <c r="G273" s="5">
        <f>29.5</f>
        <v>29.5</v>
      </c>
      <c r="H273" s="7">
        <f t="shared" si="4"/>
        <v>0.012867879591542968</v>
      </c>
    </row>
    <row r="274" spans="1:8" ht="14.25" customHeight="1">
      <c r="A274" s="3">
        <f>0</f>
        <v>0</v>
      </c>
      <c r="B274" s="3">
        <f>1</f>
        <v>1</v>
      </c>
      <c r="C274" s="1">
        <f>0</f>
        <v>0</v>
      </c>
      <c r="D274" s="1">
        <f>0</f>
        <v>0</v>
      </c>
      <c r="E274" s="1" t="s">
        <v>1407</v>
      </c>
      <c r="F274" s="1" t="s">
        <v>739</v>
      </c>
      <c r="G274" s="5">
        <f>22.125</f>
        <v>22.125</v>
      </c>
      <c r="H274" s="7">
        <f t="shared" si="4"/>
        <v>0.009650909693657226</v>
      </c>
    </row>
    <row r="275" spans="1:8" ht="14.25" customHeight="1">
      <c r="A275" s="3">
        <f>3</f>
        <v>3</v>
      </c>
      <c r="B275" s="3">
        <f>1</f>
        <v>1</v>
      </c>
      <c r="C275" s="1">
        <f>0</f>
        <v>0</v>
      </c>
      <c r="D275" s="1">
        <f>0</f>
        <v>0</v>
      </c>
      <c r="E275" s="1" t="s">
        <v>992</v>
      </c>
      <c r="F275" s="1"/>
      <c r="G275" s="5">
        <f>72.4583</f>
        <v>72.4583</v>
      </c>
      <c r="H275" s="7">
        <f t="shared" si="4"/>
        <v>0.03160626033247111</v>
      </c>
    </row>
    <row r="276" spans="1:8" ht="14.25" customHeight="1">
      <c r="A276" s="3">
        <f>3</f>
        <v>3</v>
      </c>
      <c r="B276" s="3">
        <f>1</f>
        <v>1</v>
      </c>
      <c r="C276" s="1">
        <f>0</f>
        <v>0</v>
      </c>
      <c r="D276" s="1">
        <f>0</f>
        <v>0</v>
      </c>
      <c r="E276" s="1" t="s">
        <v>611</v>
      </c>
      <c r="F276" s="1"/>
      <c r="G276" s="5">
        <f>36.9167</f>
        <v>36.9167</v>
      </c>
      <c r="H276" s="7">
        <f t="shared" si="4"/>
        <v>0.016103039000580143</v>
      </c>
    </row>
    <row r="277" spans="1:8" ht="14.25" customHeight="1">
      <c r="A277" s="3">
        <f>3</f>
        <v>3</v>
      </c>
      <c r="B277" s="3">
        <f>1</f>
        <v>1</v>
      </c>
      <c r="C277" s="1">
        <f>0</f>
        <v>0</v>
      </c>
      <c r="D277" s="1">
        <f>0</f>
        <v>0</v>
      </c>
      <c r="E277" s="1" t="s">
        <v>1156</v>
      </c>
      <c r="F277" s="1"/>
      <c r="G277" s="5">
        <f>65.5</f>
        <v>65.5</v>
      </c>
      <c r="H277" s="7">
        <f t="shared" si="4"/>
        <v>0.028571054686307266</v>
      </c>
    </row>
    <row r="278" spans="1:8" ht="14.25" customHeight="1">
      <c r="A278" s="3">
        <f>3</f>
        <v>3</v>
      </c>
      <c r="B278" s="3">
        <f>1</f>
        <v>1</v>
      </c>
      <c r="C278" s="1">
        <f>0</f>
        <v>0</v>
      </c>
      <c r="D278" s="1">
        <f>0</f>
        <v>0</v>
      </c>
      <c r="E278" s="1" t="s">
        <v>980</v>
      </c>
      <c r="F278" s="1"/>
      <c r="G278" s="5">
        <f>222</f>
        <v>222</v>
      </c>
      <c r="H278" s="7">
        <f t="shared" si="4"/>
        <v>0.09683624641771318</v>
      </c>
    </row>
    <row r="279" spans="1:8" ht="14.25" customHeight="1">
      <c r="A279" s="3">
        <f>3</f>
        <v>3</v>
      </c>
      <c r="B279" s="3">
        <f>1</f>
        <v>1</v>
      </c>
      <c r="C279" s="1">
        <f>0</f>
        <v>0</v>
      </c>
      <c r="D279" s="1">
        <f>0</f>
        <v>0</v>
      </c>
      <c r="E279" s="1" t="s">
        <v>1506</v>
      </c>
      <c r="F279" s="1"/>
      <c r="G279" s="5">
        <f>158.3333</f>
        <v>158.3333</v>
      </c>
      <c r="H279" s="7">
        <f t="shared" si="4"/>
        <v>0.06906487592310678</v>
      </c>
    </row>
    <row r="280" spans="1:8" ht="14.25" customHeight="1">
      <c r="A280" s="3">
        <f>3</f>
        <v>3</v>
      </c>
      <c r="B280" s="3">
        <f>1</f>
        <v>1</v>
      </c>
      <c r="C280" s="1">
        <f>0</f>
        <v>0</v>
      </c>
      <c r="D280" s="1">
        <f>0</f>
        <v>0</v>
      </c>
      <c r="E280" s="1" t="s">
        <v>1129</v>
      </c>
      <c r="F280" s="1"/>
      <c r="G280" s="5">
        <f>17.7188</f>
        <v>17.7188</v>
      </c>
      <c r="H280" s="7">
        <f t="shared" si="4"/>
        <v>0.0077289283019197135</v>
      </c>
    </row>
    <row r="281" spans="1:8" ht="14.25" customHeight="1">
      <c r="A281" s="3">
        <f>3</f>
        <v>3</v>
      </c>
      <c r="B281" s="3">
        <f>1</f>
        <v>1</v>
      </c>
      <c r="C281" s="1">
        <f>0</f>
        <v>0</v>
      </c>
      <c r="D281" s="1">
        <f>0</f>
        <v>0</v>
      </c>
      <c r="E281" s="1" t="s">
        <v>1066</v>
      </c>
      <c r="F281" s="1"/>
      <c r="G281" s="5">
        <f>20.0417</f>
        <v>20.0417</v>
      </c>
      <c r="H281" s="7">
        <f t="shared" si="4"/>
        <v>0.008742175674909378</v>
      </c>
    </row>
    <row r="282" spans="1:8" ht="14.25" customHeight="1">
      <c r="A282" s="3">
        <f>3</f>
        <v>3</v>
      </c>
      <c r="B282" s="3">
        <f>1</f>
        <v>1</v>
      </c>
      <c r="C282" s="1">
        <f>0</f>
        <v>0</v>
      </c>
      <c r="D282" s="1">
        <f>0</f>
        <v>0</v>
      </c>
      <c r="E282" s="1" t="s">
        <v>1291</v>
      </c>
      <c r="F282" s="1"/>
      <c r="G282" s="5">
        <f>48.75</f>
        <v>48.75</v>
      </c>
      <c r="H282" s="7">
        <f t="shared" si="4"/>
        <v>0.02126471627415999</v>
      </c>
    </row>
    <row r="283" spans="1:8" ht="14.25" customHeight="1">
      <c r="A283" s="3">
        <f>3</f>
        <v>3</v>
      </c>
      <c r="B283" s="3">
        <f>1</f>
        <v>1</v>
      </c>
      <c r="C283" s="1">
        <f>0</f>
        <v>0</v>
      </c>
      <c r="D283" s="1">
        <f>0</f>
        <v>0</v>
      </c>
      <c r="E283" s="1" t="s">
        <v>958</v>
      </c>
      <c r="F283" s="1"/>
      <c r="G283" s="5">
        <f>38.5556</f>
        <v>38.5556</v>
      </c>
      <c r="H283" s="7">
        <f t="shared" si="4"/>
        <v>0.01681792604676929</v>
      </c>
    </row>
    <row r="284" spans="1:8" ht="14.25" customHeight="1">
      <c r="A284" s="3">
        <f>3</f>
        <v>3</v>
      </c>
      <c r="B284" s="3">
        <f>1</f>
        <v>1</v>
      </c>
      <c r="C284" s="1">
        <f>0</f>
        <v>0</v>
      </c>
      <c r="D284" s="1">
        <f>0</f>
        <v>0</v>
      </c>
      <c r="E284" s="1" t="s">
        <v>612</v>
      </c>
      <c r="F284" s="1"/>
      <c r="G284" s="5">
        <f>132.9213</f>
        <v>132.9213</v>
      </c>
      <c r="H284" s="7">
        <f t="shared" si="4"/>
        <v>0.05798017910343594</v>
      </c>
    </row>
    <row r="285" spans="1:8" ht="14.25" customHeight="1">
      <c r="A285" s="3">
        <f>3</f>
        <v>3</v>
      </c>
      <c r="B285" s="3">
        <f>1</f>
        <v>1</v>
      </c>
      <c r="C285" s="1">
        <f>0</f>
        <v>0</v>
      </c>
      <c r="D285" s="1">
        <f>0</f>
        <v>0</v>
      </c>
      <c r="E285" s="1" t="s">
        <v>859</v>
      </c>
      <c r="F285" s="1"/>
      <c r="G285" s="5">
        <f>76.8977</f>
        <v>76.8977</v>
      </c>
      <c r="H285" s="7">
        <f t="shared" si="4"/>
        <v>0.033542723541240466</v>
      </c>
    </row>
    <row r="286" spans="1:8" ht="14.25" customHeight="1">
      <c r="A286" s="3">
        <f>3</f>
        <v>3</v>
      </c>
      <c r="B286" s="3">
        <f>1</f>
        <v>1</v>
      </c>
      <c r="C286" s="1">
        <f>0</f>
        <v>0</v>
      </c>
      <c r="D286" s="1">
        <f>0</f>
        <v>0</v>
      </c>
      <c r="E286" s="1" t="s">
        <v>124</v>
      </c>
      <c r="F286" s="1"/>
      <c r="G286" s="5">
        <f>3.7222</f>
        <v>3.7222</v>
      </c>
      <c r="H286" s="7">
        <f t="shared" si="4"/>
        <v>0.001623621064936991</v>
      </c>
    </row>
    <row r="287" spans="1:8" ht="14.25" customHeight="1">
      <c r="A287" s="3">
        <f>3</f>
        <v>3</v>
      </c>
      <c r="B287" s="3">
        <f>1</f>
        <v>1</v>
      </c>
      <c r="C287" s="1">
        <f>0</f>
        <v>0</v>
      </c>
      <c r="D287" s="1">
        <f>0</f>
        <v>0</v>
      </c>
      <c r="E287" s="1" t="s">
        <v>1310</v>
      </c>
      <c r="F287" s="1"/>
      <c r="G287" s="5">
        <f>36.9167</f>
        <v>36.9167</v>
      </c>
      <c r="H287" s="7">
        <f t="shared" si="4"/>
        <v>0.016103039000580143</v>
      </c>
    </row>
    <row r="288" spans="1:8" ht="14.25" customHeight="1">
      <c r="A288" s="3">
        <f>3</f>
        <v>3</v>
      </c>
      <c r="B288" s="3">
        <f>1</f>
        <v>1</v>
      </c>
      <c r="C288" s="1">
        <f>0</f>
        <v>0</v>
      </c>
      <c r="D288" s="1">
        <f>0</f>
        <v>0</v>
      </c>
      <c r="E288" s="1" t="s">
        <v>860</v>
      </c>
      <c r="F288" s="1"/>
      <c r="G288" s="5">
        <f>40.6065</f>
        <v>40.6065</v>
      </c>
      <c r="H288" s="7">
        <f t="shared" si="4"/>
        <v>0.017712527207931848</v>
      </c>
    </row>
    <row r="289" spans="1:8" ht="14.25" customHeight="1">
      <c r="A289" s="3">
        <f>3</f>
        <v>3</v>
      </c>
      <c r="B289" s="3">
        <f>1</f>
        <v>1</v>
      </c>
      <c r="C289" s="1">
        <f>0</f>
        <v>0</v>
      </c>
      <c r="D289" s="1">
        <f>0</f>
        <v>0</v>
      </c>
      <c r="E289" s="1" t="s">
        <v>1130</v>
      </c>
      <c r="F289" s="1"/>
      <c r="G289" s="5">
        <f>80.8224</f>
        <v>80.8224</v>
      </c>
      <c r="H289" s="7">
        <f t="shared" si="4"/>
        <v>0.0352546749660855</v>
      </c>
    </row>
    <row r="290" spans="1:8" ht="14.25" customHeight="1">
      <c r="A290" s="3">
        <f>3</f>
        <v>3</v>
      </c>
      <c r="B290" s="3">
        <f>1</f>
        <v>1</v>
      </c>
      <c r="C290" s="1">
        <f>0</f>
        <v>0</v>
      </c>
      <c r="D290" s="1">
        <f>0</f>
        <v>0</v>
      </c>
      <c r="E290" s="1" t="s">
        <v>329</v>
      </c>
      <c r="F290" s="1"/>
      <c r="G290" s="5">
        <f>38.6667</f>
        <v>38.6667</v>
      </c>
      <c r="H290" s="7">
        <f t="shared" si="4"/>
        <v>0.016866387789908965</v>
      </c>
    </row>
    <row r="291" spans="1:8" ht="14.25" customHeight="1">
      <c r="A291" s="3">
        <f>3</f>
        <v>3</v>
      </c>
      <c r="B291" s="3">
        <f>1</f>
        <v>1</v>
      </c>
      <c r="C291" s="1">
        <f>0</f>
        <v>0</v>
      </c>
      <c r="D291" s="1">
        <f>0</f>
        <v>0</v>
      </c>
      <c r="E291" s="1" t="s">
        <v>330</v>
      </c>
      <c r="F291" s="1"/>
      <c r="G291" s="5">
        <f>382.9125</f>
        <v>382.9125</v>
      </c>
      <c r="H291" s="7">
        <f t="shared" si="4"/>
        <v>0.1670261675964982</v>
      </c>
    </row>
    <row r="292" spans="1:8" ht="14.25" customHeight="1">
      <c r="A292" s="3">
        <f>3</f>
        <v>3</v>
      </c>
      <c r="B292" s="3">
        <f>1</f>
        <v>1</v>
      </c>
      <c r="C292" s="1">
        <f>0</f>
        <v>0</v>
      </c>
      <c r="D292" s="1">
        <f>0</f>
        <v>0</v>
      </c>
      <c r="E292" s="1" t="s">
        <v>812</v>
      </c>
      <c r="F292" s="1"/>
      <c r="G292" s="5">
        <f>19.4444</f>
        <v>19.4444</v>
      </c>
      <c r="H292" s="7">
        <f t="shared" si="4"/>
        <v>0.008481633828128748</v>
      </c>
    </row>
    <row r="293" spans="1:8" ht="14.25" customHeight="1">
      <c r="A293" s="3">
        <f>3</f>
        <v>3</v>
      </c>
      <c r="B293" s="3">
        <f>1</f>
        <v>1</v>
      </c>
      <c r="C293" s="1">
        <f>0</f>
        <v>0</v>
      </c>
      <c r="D293" s="1">
        <f>0</f>
        <v>0</v>
      </c>
      <c r="E293" s="1" t="s">
        <v>861</v>
      </c>
      <c r="F293" s="1"/>
      <c r="G293" s="5">
        <f>27.55</f>
        <v>27.55</v>
      </c>
      <c r="H293" s="7">
        <f t="shared" si="4"/>
        <v>0.012017290940576568</v>
      </c>
    </row>
    <row r="294" spans="1:8" ht="14.25" customHeight="1">
      <c r="A294" s="3">
        <f>3</f>
        <v>3</v>
      </c>
      <c r="B294" s="3">
        <f>1</f>
        <v>1</v>
      </c>
      <c r="C294" s="1">
        <f>0</f>
        <v>0</v>
      </c>
      <c r="D294" s="1">
        <f>0</f>
        <v>0</v>
      </c>
      <c r="E294" s="1" t="s">
        <v>1096</v>
      </c>
      <c r="F294" s="1"/>
      <c r="G294" s="5">
        <f>123.625</f>
        <v>123.625</v>
      </c>
      <c r="H294" s="7">
        <f t="shared" si="4"/>
        <v>0.053925139474728795</v>
      </c>
    </row>
    <row r="295" spans="1:8" ht="14.25" customHeight="1">
      <c r="A295" s="3">
        <f>3</f>
        <v>3</v>
      </c>
      <c r="B295" s="3">
        <f>1</f>
        <v>1</v>
      </c>
      <c r="C295" s="1">
        <f>0</f>
        <v>0</v>
      </c>
      <c r="D295" s="1">
        <f>0</f>
        <v>0</v>
      </c>
      <c r="E295" s="1" t="s">
        <v>862</v>
      </c>
      <c r="F295" s="1"/>
      <c r="G295" s="5">
        <f>44.581</f>
        <v>44.581</v>
      </c>
      <c r="H295" s="7">
        <f t="shared" si="4"/>
        <v>0.019446201358324647</v>
      </c>
    </row>
    <row r="296" spans="1:8" ht="14.25" customHeight="1">
      <c r="A296" s="3">
        <f>3</f>
        <v>3</v>
      </c>
      <c r="B296" s="3">
        <f>1</f>
        <v>1</v>
      </c>
      <c r="C296" s="1">
        <f>0</f>
        <v>0</v>
      </c>
      <c r="D296" s="1">
        <f>0</f>
        <v>0</v>
      </c>
      <c r="E296" s="1" t="s">
        <v>1097</v>
      </c>
      <c r="F296" s="1"/>
      <c r="G296" s="5">
        <f>81.375</f>
        <v>81.375</v>
      </c>
      <c r="H296" s="7">
        <f t="shared" si="4"/>
        <v>0.03549571870379013</v>
      </c>
    </row>
    <row r="297" spans="1:8" ht="14.25" customHeight="1">
      <c r="A297" s="3">
        <f>3</f>
        <v>3</v>
      </c>
      <c r="B297" s="3">
        <f>1</f>
        <v>1</v>
      </c>
      <c r="C297" s="1">
        <f>0</f>
        <v>0</v>
      </c>
      <c r="D297" s="1">
        <f>0</f>
        <v>0</v>
      </c>
      <c r="E297" s="1" t="s">
        <v>1408</v>
      </c>
      <c r="F297" s="1"/>
      <c r="G297" s="5">
        <f>11.5263</f>
        <v>11.5263</v>
      </c>
      <c r="H297" s="7">
        <f t="shared" si="4"/>
        <v>0.00502776408596616</v>
      </c>
    </row>
    <row r="298" spans="1:8" ht="14.25" customHeight="1">
      <c r="A298" s="3">
        <f>3</f>
        <v>3</v>
      </c>
      <c r="B298" s="3">
        <f>1</f>
        <v>1</v>
      </c>
      <c r="C298" s="1">
        <f>0</f>
        <v>0</v>
      </c>
      <c r="D298" s="1">
        <f>0</f>
        <v>0</v>
      </c>
      <c r="E298" s="1" t="s">
        <v>194</v>
      </c>
      <c r="F298" s="1"/>
      <c r="G298" s="5">
        <f>46.7421</f>
        <v>46.7421</v>
      </c>
      <c r="H298" s="7">
        <f t="shared" si="4"/>
        <v>0.02038887168324951</v>
      </c>
    </row>
    <row r="299" spans="1:8" ht="14.25" customHeight="1">
      <c r="A299" s="3">
        <f>3</f>
        <v>3</v>
      </c>
      <c r="B299" s="3">
        <f>1</f>
        <v>1</v>
      </c>
      <c r="C299" s="1">
        <f>0</f>
        <v>0</v>
      </c>
      <c r="D299" s="1">
        <f>0</f>
        <v>0</v>
      </c>
      <c r="E299" s="1" t="s">
        <v>1035</v>
      </c>
      <c r="F299" s="1"/>
      <c r="G299" s="5">
        <f>0.8333</f>
        <v>0.8333</v>
      </c>
      <c r="H299" s="7">
        <f t="shared" si="4"/>
        <v>0.00036348488351297477</v>
      </c>
    </row>
    <row r="300" spans="1:8" ht="14.25" customHeight="1">
      <c r="A300" s="3">
        <f>3</f>
        <v>3</v>
      </c>
      <c r="B300" s="3">
        <f>1</f>
        <v>1</v>
      </c>
      <c r="C300" s="1">
        <f>0</f>
        <v>0</v>
      </c>
      <c r="D300" s="1">
        <f>0</f>
        <v>0</v>
      </c>
      <c r="E300" s="1" t="s">
        <v>1067</v>
      </c>
      <c r="F300" s="1"/>
      <c r="G300" s="5">
        <f>4.4571</f>
        <v>4.4571</v>
      </c>
      <c r="H300" s="7">
        <f t="shared" si="4"/>
        <v>0.0019441839365242765</v>
      </c>
    </row>
    <row r="301" spans="1:8" ht="14.25" customHeight="1">
      <c r="A301" s="3">
        <f>0</f>
        <v>0</v>
      </c>
      <c r="B301" s="3">
        <f>1</f>
        <v>1</v>
      </c>
      <c r="C301" s="1">
        <f>0</f>
        <v>0</v>
      </c>
      <c r="D301" s="1">
        <f>0</f>
        <v>0</v>
      </c>
      <c r="E301" s="1" t="s">
        <v>1223</v>
      </c>
      <c r="F301" s="1" t="s">
        <v>157</v>
      </c>
      <c r="G301" s="5">
        <f>683</f>
        <v>683</v>
      </c>
      <c r="H301" s="7">
        <f t="shared" si="4"/>
        <v>0.29792412749233377</v>
      </c>
    </row>
    <row r="302" spans="1:8" ht="14.25" customHeight="1">
      <c r="A302" s="3">
        <f>0</f>
        <v>0</v>
      </c>
      <c r="B302" s="3">
        <f>1</f>
        <v>1</v>
      </c>
      <c r="C302" s="1">
        <f>0</f>
        <v>0</v>
      </c>
      <c r="D302" s="1">
        <f>0</f>
        <v>0</v>
      </c>
      <c r="E302" s="1" t="s">
        <v>1131</v>
      </c>
      <c r="F302" s="1" t="s">
        <v>1533</v>
      </c>
      <c r="G302" s="5">
        <f>165</f>
        <v>165</v>
      </c>
      <c r="H302" s="7">
        <f t="shared" si="4"/>
        <v>0.07197288585100303</v>
      </c>
    </row>
    <row r="303" spans="1:8" ht="14.25" customHeight="1">
      <c r="A303" s="3">
        <f>0</f>
        <v>0</v>
      </c>
      <c r="B303" s="3">
        <f>1</f>
        <v>1</v>
      </c>
      <c r="C303" s="1">
        <f>0</f>
        <v>0</v>
      </c>
      <c r="D303" s="1">
        <f>0</f>
        <v>0</v>
      </c>
      <c r="E303" s="1" t="s">
        <v>388</v>
      </c>
      <c r="F303" s="1" t="s">
        <v>1381</v>
      </c>
      <c r="G303" s="5">
        <f>77.625</f>
        <v>77.625</v>
      </c>
      <c r="H303" s="7">
        <f t="shared" si="4"/>
        <v>0.03385997129808552</v>
      </c>
    </row>
    <row r="304" spans="1:8" ht="14.25" customHeight="1">
      <c r="A304" s="3">
        <f>3</f>
        <v>3</v>
      </c>
      <c r="B304" s="3">
        <f>1</f>
        <v>1</v>
      </c>
      <c r="C304" s="1">
        <f>0</f>
        <v>0</v>
      </c>
      <c r="D304" s="1">
        <f>0</f>
        <v>0</v>
      </c>
      <c r="E304" s="1" t="s">
        <v>170</v>
      </c>
      <c r="F304" s="1"/>
      <c r="G304" s="5">
        <f>73.75</f>
        <v>73.75</v>
      </c>
      <c r="H304" s="7">
        <f t="shared" si="4"/>
        <v>0.032169698978857415</v>
      </c>
    </row>
    <row r="305" spans="1:8" ht="14.25" customHeight="1">
      <c r="A305" s="3">
        <f>0</f>
        <v>0</v>
      </c>
      <c r="B305" s="3">
        <f>1</f>
        <v>1</v>
      </c>
      <c r="C305" s="1">
        <f>0</f>
        <v>0</v>
      </c>
      <c r="D305" s="1">
        <f>0</f>
        <v>0</v>
      </c>
      <c r="E305" s="1" t="s">
        <v>331</v>
      </c>
      <c r="F305" s="1" t="s">
        <v>1447</v>
      </c>
      <c r="G305" s="5">
        <f>173.1333</f>
        <v>173.1333</v>
      </c>
      <c r="H305" s="7">
        <f t="shared" si="4"/>
        <v>0.07552062568428766</v>
      </c>
    </row>
    <row r="306" spans="1:8" ht="14.25" customHeight="1">
      <c r="A306" s="3">
        <f>0</f>
        <v>0</v>
      </c>
      <c r="B306" s="3">
        <f>1</f>
        <v>1</v>
      </c>
      <c r="C306" s="1">
        <f>0</f>
        <v>0</v>
      </c>
      <c r="D306" s="1">
        <f>0</f>
        <v>0</v>
      </c>
      <c r="E306" s="1" t="s">
        <v>1292</v>
      </c>
      <c r="F306" s="1" t="s">
        <v>265</v>
      </c>
      <c r="G306" s="5">
        <f>105.1667</f>
        <v>105.1667</v>
      </c>
      <c r="H306" s="7">
        <f t="shared" si="4"/>
        <v>0.04587364178440413</v>
      </c>
    </row>
    <row r="307" spans="1:8" ht="14.25" customHeight="1">
      <c r="A307" s="3">
        <f>3</f>
        <v>3</v>
      </c>
      <c r="B307" s="3">
        <f>1</f>
        <v>1</v>
      </c>
      <c r="C307" s="1">
        <f>0</f>
        <v>0</v>
      </c>
      <c r="D307" s="1">
        <f>0</f>
        <v>0</v>
      </c>
      <c r="E307" s="1" t="s">
        <v>915</v>
      </c>
      <c r="F307" s="1"/>
      <c r="G307" s="5">
        <f>38.9688</f>
        <v>38.9688</v>
      </c>
      <c r="H307" s="7">
        <f t="shared" si="4"/>
        <v>0.016998163600912528</v>
      </c>
    </row>
    <row r="308" spans="1:8" ht="14.25" customHeight="1">
      <c r="A308" s="3">
        <f>3</f>
        <v>3</v>
      </c>
      <c r="B308" s="3">
        <f>1</f>
        <v>1</v>
      </c>
      <c r="C308" s="1">
        <f>0</f>
        <v>0</v>
      </c>
      <c r="D308" s="1">
        <f>0</f>
        <v>0</v>
      </c>
      <c r="E308" s="1" t="s">
        <v>444</v>
      </c>
      <c r="F308" s="1"/>
      <c r="G308" s="5">
        <f>139.3</f>
        <v>139.3</v>
      </c>
      <c r="H308" s="7">
        <f t="shared" si="4"/>
        <v>0.060762563630574085</v>
      </c>
    </row>
    <row r="309" spans="1:8" ht="14.25" customHeight="1">
      <c r="A309" s="3">
        <f>0</f>
        <v>0</v>
      </c>
      <c r="B309" s="3">
        <f>1</f>
        <v>1</v>
      </c>
      <c r="C309" s="1">
        <f>0</f>
        <v>0</v>
      </c>
      <c r="D309" s="1">
        <f>0</f>
        <v>0</v>
      </c>
      <c r="E309" s="1" t="s">
        <v>517</v>
      </c>
      <c r="F309" s="1" t="s">
        <v>212</v>
      </c>
      <c r="G309" s="5">
        <f>139.3</f>
        <v>139.3</v>
      </c>
      <c r="H309" s="7">
        <f t="shared" si="4"/>
        <v>0.060762563630574085</v>
      </c>
    </row>
    <row r="310" spans="1:8" ht="14.25" customHeight="1">
      <c r="A310" s="3">
        <f>3</f>
        <v>3</v>
      </c>
      <c r="B310" s="3">
        <f>1</f>
        <v>1</v>
      </c>
      <c r="C310" s="1">
        <f>0</f>
        <v>0</v>
      </c>
      <c r="D310" s="1">
        <f>0</f>
        <v>0</v>
      </c>
      <c r="E310" s="1" t="s">
        <v>490</v>
      </c>
      <c r="F310" s="1"/>
      <c r="G310" s="5">
        <f>6.2639</f>
        <v>6.2639</v>
      </c>
      <c r="H310" s="7">
        <f t="shared" si="4"/>
        <v>0.002732308846558169</v>
      </c>
    </row>
    <row r="311" spans="1:8" ht="14.25" customHeight="1">
      <c r="A311" s="3">
        <f>0</f>
        <v>0</v>
      </c>
      <c r="B311" s="3">
        <f>1</f>
        <v>1</v>
      </c>
      <c r="C311" s="1">
        <f>0</f>
        <v>0</v>
      </c>
      <c r="D311" s="1">
        <f>0</f>
        <v>0</v>
      </c>
      <c r="E311" s="1" t="s">
        <v>1346</v>
      </c>
      <c r="F311" s="1" t="s">
        <v>850</v>
      </c>
      <c r="G311" s="5">
        <f>56</f>
        <v>56</v>
      </c>
      <c r="H311" s="7">
        <f t="shared" si="4"/>
        <v>0.024427161258522245</v>
      </c>
    </row>
    <row r="312" spans="1:8" ht="14.25" customHeight="1">
      <c r="A312" s="3">
        <f>3</f>
        <v>3</v>
      </c>
      <c r="B312" s="3">
        <f>1</f>
        <v>1</v>
      </c>
      <c r="C312" s="1">
        <f>0</f>
        <v>0</v>
      </c>
      <c r="D312" s="1">
        <f>0</f>
        <v>0</v>
      </c>
      <c r="E312" s="1" t="s">
        <v>1043</v>
      </c>
      <c r="F312" s="1"/>
      <c r="G312" s="5">
        <f>120.033</f>
        <v>120.033</v>
      </c>
      <c r="H312" s="7">
        <f t="shared" si="4"/>
        <v>0.05235831155971787</v>
      </c>
    </row>
    <row r="313" spans="1:8" ht="14.25" customHeight="1">
      <c r="A313" s="3">
        <f>3</f>
        <v>3</v>
      </c>
      <c r="B313" s="3">
        <f>1</f>
        <v>1</v>
      </c>
      <c r="C313" s="1">
        <f>0</f>
        <v>0</v>
      </c>
      <c r="D313" s="1">
        <f>0</f>
        <v>0</v>
      </c>
      <c r="E313" s="1" t="s">
        <v>1044</v>
      </c>
      <c r="F313" s="1"/>
      <c r="G313" s="5">
        <f>174.7931</f>
        <v>174.7931</v>
      </c>
      <c r="H313" s="7">
        <f t="shared" si="4"/>
        <v>0.07624462929601794</v>
      </c>
    </row>
    <row r="314" spans="1:8" ht="14.25" customHeight="1">
      <c r="A314" s="3">
        <f>0</f>
        <v>0</v>
      </c>
      <c r="B314" s="3">
        <f>1</f>
        <v>1</v>
      </c>
      <c r="C314" s="1">
        <f>0</f>
        <v>0</v>
      </c>
      <c r="D314" s="1">
        <f>0</f>
        <v>0</v>
      </c>
      <c r="E314" s="1" t="s">
        <v>1542</v>
      </c>
      <c r="F314" s="1" t="s">
        <v>407</v>
      </c>
      <c r="G314" s="5">
        <f>538.5</f>
        <v>538.5</v>
      </c>
      <c r="H314" s="7">
        <f t="shared" si="4"/>
        <v>0.23489332745918265</v>
      </c>
    </row>
    <row r="315" spans="1:8" ht="14.25" customHeight="1">
      <c r="A315" s="3">
        <f>3</f>
        <v>3</v>
      </c>
      <c r="B315" s="3">
        <f>1</f>
        <v>1</v>
      </c>
      <c r="C315" s="1">
        <f>0</f>
        <v>0</v>
      </c>
      <c r="D315" s="1">
        <f>0</f>
        <v>0</v>
      </c>
      <c r="E315" s="1" t="s">
        <v>993</v>
      </c>
      <c r="F315" s="1"/>
      <c r="G315" s="5">
        <f>42.25</f>
        <v>42.25</v>
      </c>
      <c r="H315" s="7">
        <f t="shared" si="4"/>
        <v>0.018429420770938655</v>
      </c>
    </row>
    <row r="316" spans="1:8" ht="14.25" customHeight="1">
      <c r="A316" s="3">
        <f>3</f>
        <v>3</v>
      </c>
      <c r="B316" s="3">
        <f>1</f>
        <v>1</v>
      </c>
      <c r="C316" s="1">
        <f>0</f>
        <v>0</v>
      </c>
      <c r="D316" s="1">
        <f>0</f>
        <v>0</v>
      </c>
      <c r="E316" s="1" t="s">
        <v>879</v>
      </c>
      <c r="F316" s="1"/>
      <c r="G316" s="5">
        <f>2.533</f>
        <v>2.533</v>
      </c>
      <c r="H316" s="7">
        <f t="shared" si="4"/>
        <v>0.0011048928476399436</v>
      </c>
    </row>
    <row r="317" spans="1:8" ht="14.25" customHeight="1">
      <c r="A317" s="3">
        <f>3</f>
        <v>3</v>
      </c>
      <c r="B317" s="3">
        <f>1</f>
        <v>1</v>
      </c>
      <c r="C317" s="1">
        <f>0</f>
        <v>0</v>
      </c>
      <c r="D317" s="1">
        <f>0</f>
        <v>0</v>
      </c>
      <c r="E317" s="1" t="s">
        <v>508</v>
      </c>
      <c r="F317" s="1"/>
      <c r="G317" s="5">
        <f>176.9125</f>
        <v>176.9125</v>
      </c>
      <c r="H317" s="7">
        <f t="shared" si="4"/>
        <v>0.07716911010979136</v>
      </c>
    </row>
    <row r="318" spans="1:8" ht="14.25" customHeight="1">
      <c r="A318" s="3">
        <f>3</f>
        <v>3</v>
      </c>
      <c r="B318" s="3">
        <f>1</f>
        <v>1</v>
      </c>
      <c r="C318" s="1">
        <f>0</f>
        <v>0</v>
      </c>
      <c r="D318" s="1">
        <f>0</f>
        <v>0</v>
      </c>
      <c r="E318" s="1" t="s">
        <v>195</v>
      </c>
      <c r="F318" s="1"/>
      <c r="G318" s="5">
        <f>546</f>
        <v>546</v>
      </c>
      <c r="H318" s="7">
        <f t="shared" si="4"/>
        <v>0.23816482227059188</v>
      </c>
    </row>
    <row r="319" spans="1:8" ht="14.25" customHeight="1">
      <c r="A319" s="3">
        <f>3</f>
        <v>3</v>
      </c>
      <c r="B319" s="3">
        <f>1</f>
        <v>1</v>
      </c>
      <c r="C319" s="1">
        <f>0</f>
        <v>0</v>
      </c>
      <c r="D319" s="1">
        <f>0</f>
        <v>0</v>
      </c>
      <c r="E319" s="1" t="s">
        <v>171</v>
      </c>
      <c r="F319" s="1"/>
      <c r="G319" s="5">
        <f>22.625</f>
        <v>22.625</v>
      </c>
      <c r="H319" s="7">
        <f t="shared" si="4"/>
        <v>0.009869009347751175</v>
      </c>
    </row>
    <row r="320" spans="1:8" ht="14.25" customHeight="1">
      <c r="A320" s="3">
        <f>0</f>
        <v>0</v>
      </c>
      <c r="B320" s="3">
        <f>1</f>
        <v>1</v>
      </c>
      <c r="C320" s="1">
        <f>0</f>
        <v>0</v>
      </c>
      <c r="D320" s="1">
        <f>0</f>
        <v>0</v>
      </c>
      <c r="E320" s="1" t="s">
        <v>387</v>
      </c>
      <c r="F320" s="1" t="s">
        <v>24</v>
      </c>
      <c r="G320" s="5">
        <f>9.2847</f>
        <v>9.2847</v>
      </c>
      <c r="H320" s="7">
        <f t="shared" si="4"/>
        <v>0.00404997971673217</v>
      </c>
    </row>
    <row r="321" spans="1:8" ht="14.25" customHeight="1">
      <c r="A321" s="3">
        <f>0</f>
        <v>0</v>
      </c>
      <c r="B321" s="3">
        <f>1</f>
        <v>1</v>
      </c>
      <c r="C321" s="1">
        <f>0</f>
        <v>0</v>
      </c>
      <c r="D321" s="1">
        <f>0</f>
        <v>0</v>
      </c>
      <c r="E321" s="1" t="s">
        <v>1224</v>
      </c>
      <c r="F321" s="1" t="s">
        <v>155</v>
      </c>
      <c r="G321" s="5">
        <f>33.5714</f>
        <v>33.5714</v>
      </c>
      <c r="H321" s="7">
        <f t="shared" si="4"/>
        <v>0.01464382145489917</v>
      </c>
    </row>
    <row r="322" spans="1:8" ht="14.25" customHeight="1">
      <c r="A322" s="3">
        <f>3</f>
        <v>3</v>
      </c>
      <c r="B322" s="3">
        <f>1</f>
        <v>1</v>
      </c>
      <c r="C322" s="1">
        <f>0</f>
        <v>0</v>
      </c>
      <c r="D322" s="1">
        <f>0</f>
        <v>0</v>
      </c>
      <c r="E322" s="1" t="s">
        <v>791</v>
      </c>
      <c r="F322" s="1"/>
      <c r="G322" s="5">
        <f>225.1458</f>
        <v>225.1458</v>
      </c>
      <c r="H322" s="7">
        <f aca="true" t="shared" si="5" ref="H322:H385">SUM(100/229253*G$1:G$65536)</f>
        <v>0.09820844220141067</v>
      </c>
    </row>
    <row r="323" spans="1:8" ht="14.25" customHeight="1">
      <c r="A323" s="3">
        <f>3</f>
        <v>3</v>
      </c>
      <c r="B323" s="3">
        <f>1</f>
        <v>1</v>
      </c>
      <c r="C323" s="1">
        <f>0</f>
        <v>0</v>
      </c>
      <c r="D323" s="1">
        <f>0</f>
        <v>0</v>
      </c>
      <c r="E323" s="1" t="s">
        <v>419</v>
      </c>
      <c r="F323" s="1"/>
      <c r="G323" s="5">
        <f>37</f>
        <v>37</v>
      </c>
      <c r="H323" s="7">
        <f t="shared" si="5"/>
        <v>0.016139374402952197</v>
      </c>
    </row>
    <row r="324" spans="1:8" ht="14.25" customHeight="1">
      <c r="A324" s="3">
        <f>0</f>
        <v>0</v>
      </c>
      <c r="B324" s="3">
        <f>1</f>
        <v>1</v>
      </c>
      <c r="C324" s="1">
        <f>0</f>
        <v>0</v>
      </c>
      <c r="D324" s="1">
        <f>0</f>
        <v>0</v>
      </c>
      <c r="E324" s="1" t="s">
        <v>1507</v>
      </c>
      <c r="F324" s="1" t="s">
        <v>319</v>
      </c>
      <c r="G324" s="5">
        <f>167.6458</f>
        <v>167.6458</v>
      </c>
      <c r="H324" s="7">
        <f t="shared" si="5"/>
        <v>0.07312698198060658</v>
      </c>
    </row>
    <row r="325" spans="1:8" ht="14.25" customHeight="1">
      <c r="A325" s="3">
        <f>0</f>
        <v>0</v>
      </c>
      <c r="B325" s="3">
        <f>1</f>
        <v>1</v>
      </c>
      <c r="C325" s="1">
        <f>0</f>
        <v>0</v>
      </c>
      <c r="D325" s="1">
        <f>0</f>
        <v>0</v>
      </c>
      <c r="E325" s="1" t="s">
        <v>1508</v>
      </c>
      <c r="F325" s="1" t="s">
        <v>1527</v>
      </c>
      <c r="G325" s="5">
        <f>368.169</f>
        <v>368.169</v>
      </c>
      <c r="H325" s="7">
        <f t="shared" si="5"/>
        <v>0.16059506309622992</v>
      </c>
    </row>
    <row r="326" spans="1:8" ht="14.25" customHeight="1">
      <c r="A326" s="3">
        <f>3</f>
        <v>3</v>
      </c>
      <c r="B326" s="3">
        <f>1</f>
        <v>1</v>
      </c>
      <c r="C326" s="1">
        <f>0</f>
        <v>0</v>
      </c>
      <c r="D326" s="1">
        <f>0</f>
        <v>0</v>
      </c>
      <c r="E326" s="1" t="s">
        <v>994</v>
      </c>
      <c r="F326" s="1"/>
      <c r="G326" s="5">
        <f>47</f>
        <v>47</v>
      </c>
      <c r="H326" s="7">
        <f t="shared" si="5"/>
        <v>0.020501367484831168</v>
      </c>
    </row>
    <row r="327" spans="1:8" ht="14.25" customHeight="1">
      <c r="A327" s="3">
        <f>0</f>
        <v>0</v>
      </c>
      <c r="B327" s="3">
        <f>1</f>
        <v>1</v>
      </c>
      <c r="C327" s="1">
        <f>0</f>
        <v>0</v>
      </c>
      <c r="D327" s="1">
        <f>0</f>
        <v>0</v>
      </c>
      <c r="E327" s="1" t="s">
        <v>464</v>
      </c>
      <c r="F327" s="1" t="s">
        <v>273</v>
      </c>
      <c r="G327" s="5">
        <f>683</f>
        <v>683</v>
      </c>
      <c r="H327" s="7">
        <f t="shared" si="5"/>
        <v>0.29792412749233377</v>
      </c>
    </row>
    <row r="328" spans="1:8" ht="14.25" customHeight="1">
      <c r="A328" s="3">
        <f>0</f>
        <v>0</v>
      </c>
      <c r="B328" s="3">
        <f>1</f>
        <v>1</v>
      </c>
      <c r="C328" s="1">
        <f>0</f>
        <v>0</v>
      </c>
      <c r="D328" s="1">
        <f>0</f>
        <v>0</v>
      </c>
      <c r="E328" s="1" t="s">
        <v>275</v>
      </c>
      <c r="F328" s="1" t="s">
        <v>406</v>
      </c>
      <c r="G328" s="5">
        <f>398.125</f>
        <v>398.125</v>
      </c>
      <c r="H328" s="7">
        <f t="shared" si="5"/>
        <v>0.17366184957230657</v>
      </c>
    </row>
    <row r="329" spans="1:8" ht="14.25" customHeight="1">
      <c r="A329" s="3">
        <f>3</f>
        <v>3</v>
      </c>
      <c r="B329" s="3">
        <f>1</f>
        <v>1</v>
      </c>
      <c r="C329" s="1">
        <f>0</f>
        <v>0</v>
      </c>
      <c r="D329" s="1">
        <f>0</f>
        <v>0</v>
      </c>
      <c r="E329" s="1" t="s">
        <v>1193</v>
      </c>
      <c r="F329" s="1"/>
      <c r="G329" s="5">
        <f>199.1667</f>
        <v>199.1667</v>
      </c>
      <c r="H329" s="7">
        <f t="shared" si="5"/>
        <v>0.08687637675406647</v>
      </c>
    </row>
    <row r="330" spans="1:8" ht="14.25" customHeight="1">
      <c r="A330" s="3">
        <f>3</f>
        <v>3</v>
      </c>
      <c r="B330" s="3">
        <f>1</f>
        <v>1</v>
      </c>
      <c r="C330" s="1">
        <f>0</f>
        <v>0</v>
      </c>
      <c r="D330" s="1">
        <f>0</f>
        <v>0</v>
      </c>
      <c r="E330" s="1" t="s">
        <v>940</v>
      </c>
      <c r="F330" s="1"/>
      <c r="G330" s="5">
        <f>6.8421</f>
        <v>6.8421</v>
      </c>
      <c r="H330" s="7">
        <f t="shared" si="5"/>
        <v>0.0029845192865524117</v>
      </c>
    </row>
    <row r="331" spans="1:8" ht="14.25" customHeight="1">
      <c r="A331" s="3">
        <f>3</f>
        <v>3</v>
      </c>
      <c r="B331" s="3">
        <f>1</f>
        <v>1</v>
      </c>
      <c r="C331" s="1">
        <f>0</f>
        <v>0</v>
      </c>
      <c r="D331" s="1">
        <f>0</f>
        <v>0</v>
      </c>
      <c r="E331" s="1" t="s">
        <v>39</v>
      </c>
      <c r="F331" s="1"/>
      <c r="G331" s="5">
        <f>5.8125</f>
        <v>5.8125</v>
      </c>
      <c r="H331" s="7">
        <f t="shared" si="5"/>
        <v>0.0025354084788421524</v>
      </c>
    </row>
    <row r="332" spans="1:8" ht="14.25" customHeight="1">
      <c r="A332" s="3">
        <f>3</f>
        <v>3</v>
      </c>
      <c r="B332" s="3">
        <f>1</f>
        <v>1</v>
      </c>
      <c r="C332" s="1">
        <f>0</f>
        <v>0</v>
      </c>
      <c r="D332" s="1">
        <f>0</f>
        <v>0</v>
      </c>
      <c r="E332" s="1" t="s">
        <v>941</v>
      </c>
      <c r="F332" s="1"/>
      <c r="G332" s="5">
        <f>2.05</f>
        <v>2.05</v>
      </c>
      <c r="H332" s="7">
        <f t="shared" si="5"/>
        <v>0.0008942085817851892</v>
      </c>
    </row>
    <row r="333" spans="1:8" ht="14.25" customHeight="1">
      <c r="A333" s="3">
        <f>0</f>
        <v>0</v>
      </c>
      <c r="B333" s="3">
        <f>1</f>
        <v>1</v>
      </c>
      <c r="C333" s="1">
        <f>0</f>
        <v>0</v>
      </c>
      <c r="D333" s="1">
        <f>0</f>
        <v>0</v>
      </c>
      <c r="E333" s="1" t="s">
        <v>445</v>
      </c>
      <c r="F333" s="1" t="s">
        <v>528</v>
      </c>
      <c r="G333" s="5">
        <f>874.3333</f>
        <v>874.3333</v>
      </c>
      <c r="H333" s="7">
        <f t="shared" si="5"/>
        <v>0.3813835805856412</v>
      </c>
    </row>
    <row r="334" spans="1:8" ht="14.25" customHeight="1">
      <c r="A334" s="3">
        <f>3</f>
        <v>3</v>
      </c>
      <c r="B334" s="3">
        <f>1</f>
        <v>1</v>
      </c>
      <c r="C334" s="1">
        <f>0</f>
        <v>0</v>
      </c>
      <c r="D334" s="1">
        <f>0</f>
        <v>0</v>
      </c>
      <c r="E334" s="1" t="s">
        <v>1509</v>
      </c>
      <c r="F334" s="1"/>
      <c r="G334" s="5">
        <f>14.8333</f>
        <v>14.8333</v>
      </c>
      <c r="H334" s="7">
        <f t="shared" si="5"/>
        <v>0.006470275198143536</v>
      </c>
    </row>
    <row r="335" spans="1:8" ht="14.25" customHeight="1">
      <c r="A335" s="3">
        <f>3</f>
        <v>3</v>
      </c>
      <c r="B335" s="3">
        <f>1</f>
        <v>1</v>
      </c>
      <c r="C335" s="1">
        <f>0</f>
        <v>0</v>
      </c>
      <c r="D335" s="1">
        <f>0</f>
        <v>0</v>
      </c>
      <c r="E335" s="1" t="s">
        <v>276</v>
      </c>
      <c r="F335" s="1"/>
      <c r="G335" s="5">
        <f>1.1667</f>
        <v>1.1667</v>
      </c>
      <c r="H335" s="7">
        <f t="shared" si="5"/>
        <v>0.0005089137328628197</v>
      </c>
    </row>
    <row r="336" spans="1:8" ht="14.25" customHeight="1">
      <c r="A336" s="3">
        <f>3</f>
        <v>3</v>
      </c>
      <c r="B336" s="3">
        <f>1</f>
        <v>1</v>
      </c>
      <c r="C336" s="1">
        <f>0</f>
        <v>0</v>
      </c>
      <c r="D336" s="1">
        <f>0</f>
        <v>0</v>
      </c>
      <c r="E336" s="1" t="s">
        <v>1045</v>
      </c>
      <c r="F336" s="1"/>
      <c r="G336" s="5">
        <f>0.5125</f>
        <v>0.5125</v>
      </c>
      <c r="H336" s="7">
        <f t="shared" si="5"/>
        <v>0.0002235521454462973</v>
      </c>
    </row>
    <row r="337" spans="1:8" ht="14.25" customHeight="1">
      <c r="A337" s="3">
        <f>3</f>
        <v>3</v>
      </c>
      <c r="B337" s="3">
        <f>1</f>
        <v>1</v>
      </c>
      <c r="C337" s="1">
        <f>0</f>
        <v>0</v>
      </c>
      <c r="D337" s="1">
        <f>0</f>
        <v>0</v>
      </c>
      <c r="E337" s="1" t="s">
        <v>776</v>
      </c>
      <c r="F337" s="1"/>
      <c r="G337" s="5">
        <f>1349.0526</f>
        <v>1349.0526</v>
      </c>
      <c r="H337" s="7">
        <f t="shared" si="5"/>
        <v>0.588455810829084</v>
      </c>
    </row>
    <row r="338" spans="1:8" ht="14.25" customHeight="1">
      <c r="A338" s="3">
        <f>0</f>
        <v>0</v>
      </c>
      <c r="B338" s="3">
        <f>1</f>
        <v>1</v>
      </c>
      <c r="C338" s="1">
        <f>0</f>
        <v>0</v>
      </c>
      <c r="D338" s="1">
        <f>0</f>
        <v>0</v>
      </c>
      <c r="E338" s="1" t="s">
        <v>420</v>
      </c>
      <c r="F338" s="1" t="s">
        <v>1140</v>
      </c>
      <c r="G338" s="5">
        <f>454.3056</f>
        <v>454.3056</v>
      </c>
      <c r="H338" s="7">
        <f t="shared" si="5"/>
        <v>0.19816778842588756</v>
      </c>
    </row>
    <row r="339" spans="1:8" ht="14.25" customHeight="1">
      <c r="A339" s="3">
        <f>3</f>
        <v>3</v>
      </c>
      <c r="B339" s="3">
        <f>1</f>
        <v>1</v>
      </c>
      <c r="C339" s="1">
        <f>0</f>
        <v>0</v>
      </c>
      <c r="D339" s="1">
        <f>0</f>
        <v>0</v>
      </c>
      <c r="E339" s="1" t="s">
        <v>1114</v>
      </c>
      <c r="F339" s="1"/>
      <c r="G339" s="5">
        <f>104.3333</f>
        <v>104.3333</v>
      </c>
      <c r="H339" s="7">
        <f t="shared" si="5"/>
        <v>0.04551011328096033</v>
      </c>
    </row>
    <row r="340" spans="1:8" ht="14.25" customHeight="1">
      <c r="A340" s="3">
        <f>0</f>
        <v>0</v>
      </c>
      <c r="B340" s="3">
        <f>1</f>
        <v>1</v>
      </c>
      <c r="C340" s="1">
        <f>0</f>
        <v>0</v>
      </c>
      <c r="D340" s="1">
        <f>0</f>
        <v>0</v>
      </c>
      <c r="E340" s="1" t="s">
        <v>1510</v>
      </c>
      <c r="F340" s="1" t="s">
        <v>1576</v>
      </c>
      <c r="G340" s="5">
        <f>58.125</f>
        <v>58.125</v>
      </c>
      <c r="H340" s="7">
        <f t="shared" si="5"/>
        <v>0.025354084788421525</v>
      </c>
    </row>
    <row r="341" spans="1:8" ht="14.25" customHeight="1">
      <c r="A341" s="3">
        <f>0</f>
        <v>0</v>
      </c>
      <c r="B341" s="3">
        <f>1</f>
        <v>1</v>
      </c>
      <c r="C341" s="1">
        <f>0</f>
        <v>0</v>
      </c>
      <c r="D341" s="1">
        <f>0</f>
        <v>0</v>
      </c>
      <c r="E341" s="1" t="s">
        <v>421</v>
      </c>
      <c r="F341" s="1" t="s">
        <v>1579</v>
      </c>
      <c r="G341" s="5">
        <f>268.05</f>
        <v>268.05</v>
      </c>
      <c r="H341" s="7">
        <f t="shared" si="5"/>
        <v>0.11692322455976585</v>
      </c>
    </row>
    <row r="342" spans="1:8" ht="14.25" customHeight="1">
      <c r="A342" s="3">
        <f>3</f>
        <v>3</v>
      </c>
      <c r="B342" s="3">
        <f>1</f>
        <v>1</v>
      </c>
      <c r="C342" s="1">
        <f>0</f>
        <v>0</v>
      </c>
      <c r="D342" s="1">
        <f>0</f>
        <v>0</v>
      </c>
      <c r="E342" s="1" t="s">
        <v>1543</v>
      </c>
      <c r="F342" s="1"/>
      <c r="G342" s="5">
        <f>127.0806</f>
        <v>127.0806</v>
      </c>
      <c r="H342" s="7">
        <f t="shared" si="5"/>
        <v>0.055432469804102893</v>
      </c>
    </row>
    <row r="343" spans="1:8" ht="14.25" customHeight="1">
      <c r="A343" s="3">
        <f>3</f>
        <v>3</v>
      </c>
      <c r="B343" s="3">
        <f>1</f>
        <v>1</v>
      </c>
      <c r="C343" s="1">
        <f>0</f>
        <v>0</v>
      </c>
      <c r="D343" s="1">
        <f>0</f>
        <v>0</v>
      </c>
      <c r="E343" s="1" t="s">
        <v>523</v>
      </c>
      <c r="F343" s="1"/>
      <c r="G343" s="5">
        <f>22.7</f>
        <v>22.7</v>
      </c>
      <c r="H343" s="7">
        <f t="shared" si="5"/>
        <v>0.009901724295865267</v>
      </c>
    </row>
    <row r="344" spans="1:8" ht="14.25" customHeight="1">
      <c r="A344" s="3">
        <f>3</f>
        <v>3</v>
      </c>
      <c r="B344" s="3">
        <f>1</f>
        <v>1</v>
      </c>
      <c r="C344" s="1">
        <f>0</f>
        <v>0</v>
      </c>
      <c r="D344" s="1">
        <f>0</f>
        <v>0</v>
      </c>
      <c r="E344" s="1" t="s">
        <v>1544</v>
      </c>
      <c r="F344" s="1"/>
      <c r="G344" s="5">
        <f>104.3333</f>
        <v>104.3333</v>
      </c>
      <c r="H344" s="7">
        <f t="shared" si="5"/>
        <v>0.04551011328096033</v>
      </c>
    </row>
    <row r="345" spans="1:8" ht="14.25" customHeight="1">
      <c r="A345" s="3">
        <f>3</f>
        <v>3</v>
      </c>
      <c r="B345" s="3">
        <f>1</f>
        <v>1</v>
      </c>
      <c r="C345" s="1">
        <f>0</f>
        <v>0</v>
      </c>
      <c r="D345" s="1">
        <f>0</f>
        <v>0</v>
      </c>
      <c r="E345" s="1" t="s">
        <v>77</v>
      </c>
      <c r="F345" s="1"/>
      <c r="G345" s="5">
        <f>317.25</f>
        <v>317.25</v>
      </c>
      <c r="H345" s="7">
        <f t="shared" si="5"/>
        <v>0.1383842305226104</v>
      </c>
    </row>
    <row r="346" spans="1:8" ht="14.25" customHeight="1">
      <c r="A346" s="3">
        <f>0</f>
        <v>0</v>
      </c>
      <c r="B346" s="3">
        <f>1</f>
        <v>1</v>
      </c>
      <c r="C346" s="1">
        <f>0</f>
        <v>0</v>
      </c>
      <c r="D346" s="1">
        <f>0</f>
        <v>0</v>
      </c>
      <c r="E346" s="1" t="s">
        <v>894</v>
      </c>
      <c r="F346" s="1" t="s">
        <v>129</v>
      </c>
      <c r="G346" s="5">
        <f>173.6667</f>
        <v>173.6667</v>
      </c>
      <c r="H346" s="7">
        <f t="shared" si="5"/>
        <v>0.07575329439527509</v>
      </c>
    </row>
    <row r="347" spans="1:8" ht="14.25" customHeight="1">
      <c r="A347" s="3">
        <f>3</f>
        <v>3</v>
      </c>
      <c r="B347" s="3">
        <f>1</f>
        <v>1</v>
      </c>
      <c r="C347" s="1">
        <f>0</f>
        <v>0</v>
      </c>
      <c r="D347" s="1">
        <f>0</f>
        <v>0</v>
      </c>
      <c r="E347" s="1" t="s">
        <v>743</v>
      </c>
      <c r="F347" s="1"/>
      <c r="G347" s="5">
        <f>200.8519</f>
        <v>200.8519</v>
      </c>
      <c r="H347" s="7">
        <f t="shared" si="5"/>
        <v>0.08761145982822471</v>
      </c>
    </row>
    <row r="348" spans="1:8" ht="14.25" customHeight="1">
      <c r="A348" s="3">
        <f>3</f>
        <v>3</v>
      </c>
      <c r="B348" s="3">
        <f>1</f>
        <v>1</v>
      </c>
      <c r="C348" s="1">
        <f>0</f>
        <v>0</v>
      </c>
      <c r="D348" s="1">
        <f>0</f>
        <v>0</v>
      </c>
      <c r="E348" s="1" t="s">
        <v>613</v>
      </c>
      <c r="F348" s="1"/>
      <c r="G348" s="5">
        <f>170.7188</f>
        <v>170.7188</v>
      </c>
      <c r="H348" s="7">
        <f t="shared" si="5"/>
        <v>0.07446742245466798</v>
      </c>
    </row>
    <row r="349" spans="1:8" ht="14.25" customHeight="1">
      <c r="A349" s="3">
        <f>3</f>
        <v>3</v>
      </c>
      <c r="B349" s="3">
        <f>1</f>
        <v>1</v>
      </c>
      <c r="C349" s="1">
        <f>0</f>
        <v>0</v>
      </c>
      <c r="D349" s="1">
        <f>0</f>
        <v>0</v>
      </c>
      <c r="E349" s="1" t="s">
        <v>705</v>
      </c>
      <c r="F349" s="1"/>
      <c r="G349" s="5">
        <f>18.5714</f>
        <v>18.5714</v>
      </c>
      <c r="H349" s="7">
        <f t="shared" si="5"/>
        <v>0.008100831832080714</v>
      </c>
    </row>
    <row r="350" spans="1:8" ht="14.25" customHeight="1">
      <c r="A350" s="3">
        <f>3</f>
        <v>3</v>
      </c>
      <c r="B350" s="3">
        <f>1</f>
        <v>1</v>
      </c>
      <c r="C350" s="1">
        <f>0</f>
        <v>0</v>
      </c>
      <c r="D350" s="1">
        <f>0</f>
        <v>0</v>
      </c>
      <c r="E350" s="1" t="s">
        <v>813</v>
      </c>
      <c r="F350" s="1"/>
      <c r="G350" s="5">
        <f>28.8</f>
        <v>28.8</v>
      </c>
      <c r="H350" s="7">
        <f t="shared" si="5"/>
        <v>0.01256254007581144</v>
      </c>
    </row>
    <row r="351" spans="1:8" ht="14.25" customHeight="1">
      <c r="A351" s="3">
        <f>3</f>
        <v>3</v>
      </c>
      <c r="B351" s="3">
        <f>1</f>
        <v>1</v>
      </c>
      <c r="C351" s="1">
        <f>0</f>
        <v>0</v>
      </c>
      <c r="D351" s="1">
        <f>0</f>
        <v>0</v>
      </c>
      <c r="E351" s="1" t="s">
        <v>814</v>
      </c>
      <c r="F351" s="1"/>
      <c r="G351" s="5">
        <f>482.1185</f>
        <v>482.1185</v>
      </c>
      <c r="H351" s="7">
        <f t="shared" si="5"/>
        <v>0.2102997561645867</v>
      </c>
    </row>
    <row r="352" spans="1:8" ht="14.25" customHeight="1">
      <c r="A352" s="3">
        <f>3</f>
        <v>3</v>
      </c>
      <c r="B352" s="3">
        <f>1</f>
        <v>1</v>
      </c>
      <c r="C352" s="1">
        <f>0</f>
        <v>0</v>
      </c>
      <c r="D352" s="1">
        <f>0</f>
        <v>0</v>
      </c>
      <c r="E352" s="1" t="s">
        <v>792</v>
      </c>
      <c r="F352" s="1"/>
      <c r="G352" s="5">
        <f>69.8</f>
        <v>69.8</v>
      </c>
      <c r="H352" s="7">
        <f t="shared" si="5"/>
        <v>0.030446711711515223</v>
      </c>
    </row>
    <row r="353" spans="1:8" ht="14.25" customHeight="1">
      <c r="A353" s="3">
        <f>0</f>
        <v>0</v>
      </c>
      <c r="B353" s="3">
        <f>1</f>
        <v>1</v>
      </c>
      <c r="C353" s="1">
        <f>0</f>
        <v>0</v>
      </c>
      <c r="D353" s="1">
        <f>0</f>
        <v>0</v>
      </c>
      <c r="E353" s="1" t="s">
        <v>959</v>
      </c>
      <c r="F353" s="1" t="s">
        <v>1441</v>
      </c>
      <c r="G353" s="5">
        <f>153.3125</f>
        <v>153.3125</v>
      </c>
      <c r="H353" s="7">
        <f t="shared" si="5"/>
        <v>0.066874806436557</v>
      </c>
    </row>
    <row r="354" spans="1:8" ht="14.25" customHeight="1">
      <c r="A354" s="3">
        <f>0</f>
        <v>0</v>
      </c>
      <c r="B354" s="3">
        <f>1</f>
        <v>1</v>
      </c>
      <c r="C354" s="1">
        <f>0</f>
        <v>0</v>
      </c>
      <c r="D354" s="1">
        <f>0</f>
        <v>0</v>
      </c>
      <c r="E354" s="1" t="s">
        <v>836</v>
      </c>
      <c r="F354" s="1" t="s">
        <v>1518</v>
      </c>
      <c r="G354" s="5">
        <f>173.6667</f>
        <v>173.6667</v>
      </c>
      <c r="H354" s="7">
        <f t="shared" si="5"/>
        <v>0.07575329439527509</v>
      </c>
    </row>
    <row r="355" spans="1:8" ht="14.25" customHeight="1">
      <c r="A355" s="3">
        <f>3</f>
        <v>3</v>
      </c>
      <c r="B355" s="3">
        <f>1</f>
        <v>1</v>
      </c>
      <c r="C355" s="1">
        <f>0</f>
        <v>0</v>
      </c>
      <c r="D355" s="1">
        <f>0</f>
        <v>0</v>
      </c>
      <c r="E355" s="1" t="s">
        <v>706</v>
      </c>
      <c r="F355" s="1"/>
      <c r="G355" s="5">
        <f>29.9375</f>
        <v>29.9375</v>
      </c>
      <c r="H355" s="7">
        <f t="shared" si="5"/>
        <v>0.013058716788875173</v>
      </c>
    </row>
    <row r="356" spans="1:8" ht="14.25" customHeight="1">
      <c r="A356" s="3">
        <f>0</f>
        <v>0</v>
      </c>
      <c r="B356" s="3">
        <f>1</f>
        <v>1</v>
      </c>
      <c r="C356" s="1">
        <f>0</f>
        <v>0</v>
      </c>
      <c r="D356" s="1">
        <f>0</f>
        <v>0</v>
      </c>
      <c r="E356" s="1" t="s">
        <v>1078</v>
      </c>
      <c r="F356" s="1" t="s">
        <v>1369</v>
      </c>
      <c r="G356" s="5">
        <f>290</f>
        <v>290</v>
      </c>
      <c r="H356" s="7">
        <f t="shared" si="5"/>
        <v>0.12649779937449018</v>
      </c>
    </row>
    <row r="357" spans="1:8" ht="14.25" customHeight="1">
      <c r="A357" s="3">
        <f>3</f>
        <v>3</v>
      </c>
      <c r="B357" s="3">
        <f>1</f>
        <v>1</v>
      </c>
      <c r="C357" s="1">
        <f>0</f>
        <v>0</v>
      </c>
      <c r="D357" s="1">
        <f>0</f>
        <v>0</v>
      </c>
      <c r="E357" s="1" t="s">
        <v>777</v>
      </c>
      <c r="F357" s="1"/>
      <c r="G357" s="5">
        <f>121.425</f>
        <v>121.425</v>
      </c>
      <c r="H357" s="7">
        <f t="shared" si="5"/>
        <v>0.05296550099671542</v>
      </c>
    </row>
    <row r="358" spans="1:8" ht="14.25" customHeight="1">
      <c r="A358" s="3">
        <f>3</f>
        <v>3</v>
      </c>
      <c r="B358" s="3">
        <f>1</f>
        <v>1</v>
      </c>
      <c r="C358" s="1">
        <f>0</f>
        <v>0</v>
      </c>
      <c r="D358" s="1">
        <f>0</f>
        <v>0</v>
      </c>
      <c r="E358" s="1" t="s">
        <v>1360</v>
      </c>
      <c r="F358" s="1"/>
      <c r="G358" s="5">
        <f>9.6667</f>
        <v>9.6667</v>
      </c>
      <c r="H358" s="7">
        <f t="shared" si="5"/>
        <v>0.004216607852459946</v>
      </c>
    </row>
    <row r="359" spans="1:8" ht="14.25" customHeight="1">
      <c r="A359" s="3">
        <f>3</f>
        <v>3</v>
      </c>
      <c r="B359" s="3">
        <f>1</f>
        <v>1</v>
      </c>
      <c r="C359" s="1">
        <f>0</f>
        <v>0</v>
      </c>
      <c r="D359" s="1">
        <f>0</f>
        <v>0</v>
      </c>
      <c r="E359" s="1" t="s">
        <v>916</v>
      </c>
      <c r="F359" s="1"/>
      <c r="G359" s="5">
        <f>347.825</f>
        <v>347.825</v>
      </c>
      <c r="H359" s="7">
        <f t="shared" si="5"/>
        <v>0.15172102437045534</v>
      </c>
    </row>
    <row r="360" spans="1:8" ht="14.25" customHeight="1">
      <c r="A360" s="3">
        <f>3</f>
        <v>3</v>
      </c>
      <c r="B360" s="3">
        <f>1</f>
        <v>1</v>
      </c>
      <c r="C360" s="1">
        <f>0</f>
        <v>0</v>
      </c>
      <c r="D360" s="1">
        <f>0</f>
        <v>0</v>
      </c>
      <c r="E360" s="1" t="s">
        <v>815</v>
      </c>
      <c r="F360" s="1"/>
      <c r="G360" s="5">
        <f>28.8</f>
        <v>28.8</v>
      </c>
      <c r="H360" s="7">
        <f t="shared" si="5"/>
        <v>0.01256254007581144</v>
      </c>
    </row>
    <row r="361" spans="1:8" ht="14.25" customHeight="1">
      <c r="A361" s="3">
        <f>3</f>
        <v>3</v>
      </c>
      <c r="B361" s="3">
        <f>1</f>
        <v>1</v>
      </c>
      <c r="C361" s="1">
        <f>0</f>
        <v>0</v>
      </c>
      <c r="D361" s="1">
        <f>0</f>
        <v>0</v>
      </c>
      <c r="E361" s="1" t="s">
        <v>863</v>
      </c>
      <c r="F361" s="1"/>
      <c r="G361" s="5">
        <f>233.8125</f>
        <v>233.8125</v>
      </c>
      <c r="H361" s="7">
        <f t="shared" si="5"/>
        <v>0.10198885074568272</v>
      </c>
    </row>
    <row r="362" spans="1:8" ht="14.25" customHeight="1">
      <c r="A362" s="3">
        <f>3</f>
        <v>3</v>
      </c>
      <c r="B362" s="3">
        <f>1</f>
        <v>1</v>
      </c>
      <c r="C362" s="1">
        <f>0</f>
        <v>0</v>
      </c>
      <c r="D362" s="1">
        <f>0</f>
        <v>0</v>
      </c>
      <c r="E362" s="1" t="s">
        <v>707</v>
      </c>
      <c r="F362" s="1"/>
      <c r="G362" s="5">
        <f>18.5714</f>
        <v>18.5714</v>
      </c>
      <c r="H362" s="7">
        <f t="shared" si="5"/>
        <v>0.008100831832080714</v>
      </c>
    </row>
    <row r="363" spans="1:8" ht="14.25" customHeight="1">
      <c r="A363" s="3">
        <f>0</f>
        <v>0</v>
      </c>
      <c r="B363" s="3">
        <f>1</f>
        <v>1</v>
      </c>
      <c r="C363" s="1">
        <f>0</f>
        <v>0</v>
      </c>
      <c r="D363" s="1">
        <f>0</f>
        <v>0</v>
      </c>
      <c r="E363" s="1" t="s">
        <v>1132</v>
      </c>
      <c r="F363" s="1" t="s">
        <v>238</v>
      </c>
      <c r="G363" s="5">
        <f>291.8</f>
        <v>291.8</v>
      </c>
      <c r="H363" s="7">
        <f t="shared" si="5"/>
        <v>0.1272829581292284</v>
      </c>
    </row>
    <row r="364" spans="1:8" ht="14.25" customHeight="1">
      <c r="A364" s="3">
        <f>3</f>
        <v>3</v>
      </c>
      <c r="B364" s="3">
        <f>1</f>
        <v>1</v>
      </c>
      <c r="C364" s="1">
        <f>0</f>
        <v>0</v>
      </c>
      <c r="D364" s="1">
        <f>0</f>
        <v>0</v>
      </c>
      <c r="E364" s="1" t="s">
        <v>722</v>
      </c>
      <c r="F364" s="1"/>
      <c r="G364" s="5">
        <f>23.2667</f>
        <v>23.2667</v>
      </c>
      <c r="H364" s="7">
        <f t="shared" si="5"/>
        <v>0.010148918443815347</v>
      </c>
    </row>
    <row r="365" spans="1:8" ht="14.25" customHeight="1">
      <c r="A365" s="3">
        <f>0</f>
        <v>0</v>
      </c>
      <c r="B365" s="3">
        <f>1</f>
        <v>1</v>
      </c>
      <c r="C365" s="1">
        <f>0</f>
        <v>0</v>
      </c>
      <c r="D365" s="1">
        <f>0</f>
        <v>0</v>
      </c>
      <c r="E365" s="1" t="s">
        <v>895</v>
      </c>
      <c r="F365" s="1" t="s">
        <v>1486</v>
      </c>
      <c r="G365" s="5">
        <f>200.7222</f>
        <v>200.7222</v>
      </c>
      <c r="H365" s="7">
        <f t="shared" si="5"/>
        <v>0.08755488477795273</v>
      </c>
    </row>
    <row r="366" spans="1:8" ht="14.25" customHeight="1">
      <c r="A366" s="3">
        <f>0</f>
        <v>0</v>
      </c>
      <c r="B366" s="3">
        <f>1</f>
        <v>1</v>
      </c>
      <c r="C366" s="1">
        <f>0</f>
        <v>0</v>
      </c>
      <c r="D366" s="1">
        <f>0</f>
        <v>0</v>
      </c>
      <c r="E366" s="1" t="s">
        <v>917</v>
      </c>
      <c r="F366" s="1" t="s">
        <v>1387</v>
      </c>
      <c r="G366" s="5">
        <f>252.5</f>
        <v>252.5</v>
      </c>
      <c r="H366" s="7">
        <f t="shared" si="5"/>
        <v>0.11014032531744404</v>
      </c>
    </row>
    <row r="367" spans="1:8" ht="14.25" customHeight="1">
      <c r="A367" s="3">
        <f>3</f>
        <v>3</v>
      </c>
      <c r="B367" s="3">
        <f>1</f>
        <v>1</v>
      </c>
      <c r="C367" s="1">
        <f>0</f>
        <v>0</v>
      </c>
      <c r="D367" s="1">
        <f>0</f>
        <v>0</v>
      </c>
      <c r="E367" s="1" t="s">
        <v>1237</v>
      </c>
      <c r="F367" s="1"/>
      <c r="G367" s="5">
        <f>360.4167</f>
        <v>360.4167</v>
      </c>
      <c r="H367" s="7">
        <f t="shared" si="5"/>
        <v>0.15721351519936488</v>
      </c>
    </row>
    <row r="368" spans="1:8" ht="14.25" customHeight="1">
      <c r="A368" s="3">
        <f>0</f>
        <v>0</v>
      </c>
      <c r="B368" s="3">
        <f>1</f>
        <v>1</v>
      </c>
      <c r="C368" s="1">
        <f>0</f>
        <v>0</v>
      </c>
      <c r="D368" s="1">
        <f>0</f>
        <v>0</v>
      </c>
      <c r="E368" s="1" t="s">
        <v>217</v>
      </c>
      <c r="F368" s="1" t="s">
        <v>69</v>
      </c>
      <c r="G368" s="5">
        <f>1789.6677</f>
        <v>1789.6677</v>
      </c>
      <c r="H368" s="7">
        <f t="shared" si="5"/>
        <v>0.7806518126262252</v>
      </c>
    </row>
    <row r="369" spans="1:8" ht="14.25" customHeight="1">
      <c r="A369" s="3">
        <f>3</f>
        <v>3</v>
      </c>
      <c r="B369" s="3">
        <f>1</f>
        <v>1</v>
      </c>
      <c r="C369" s="1">
        <f>0</f>
        <v>0</v>
      </c>
      <c r="D369" s="1">
        <f>0</f>
        <v>0</v>
      </c>
      <c r="E369" s="1" t="s">
        <v>763</v>
      </c>
      <c r="F369" s="1"/>
      <c r="G369" s="5">
        <f>18.5714</f>
        <v>18.5714</v>
      </c>
      <c r="H369" s="7">
        <f t="shared" si="5"/>
        <v>0.008100831832080714</v>
      </c>
    </row>
    <row r="370" spans="1:8" ht="14.25" customHeight="1">
      <c r="A370" s="3">
        <f>3</f>
        <v>3</v>
      </c>
      <c r="B370" s="3">
        <f>1</f>
        <v>1</v>
      </c>
      <c r="C370" s="1">
        <f>0</f>
        <v>0</v>
      </c>
      <c r="D370" s="1">
        <f>0</f>
        <v>0</v>
      </c>
      <c r="E370" s="1" t="s">
        <v>744</v>
      </c>
      <c r="F370" s="1"/>
      <c r="G370" s="5">
        <f>164.0417</f>
        <v>164.0417</v>
      </c>
      <c r="H370" s="7">
        <f t="shared" si="5"/>
        <v>0.07155487605396657</v>
      </c>
    </row>
    <row r="371" spans="1:8" ht="14.25" customHeight="1">
      <c r="A371" s="3">
        <f>3</f>
        <v>3</v>
      </c>
      <c r="B371" s="3">
        <f>1</f>
        <v>1</v>
      </c>
      <c r="C371" s="1">
        <f>0</f>
        <v>0</v>
      </c>
      <c r="D371" s="1">
        <f>0</f>
        <v>0</v>
      </c>
      <c r="E371" s="1" t="s">
        <v>674</v>
      </c>
      <c r="F371" s="1"/>
      <c r="G371" s="5">
        <f>31.9524</f>
        <v>31.9524</v>
      </c>
      <c r="H371" s="7">
        <f t="shared" si="5"/>
        <v>0.013937614774942967</v>
      </c>
    </row>
    <row r="372" spans="1:8" ht="14.25" customHeight="1">
      <c r="A372" s="3">
        <f>3</f>
        <v>3</v>
      </c>
      <c r="B372" s="3">
        <f>1</f>
        <v>1</v>
      </c>
      <c r="C372" s="1">
        <f>0</f>
        <v>0</v>
      </c>
      <c r="D372" s="1">
        <f>0</f>
        <v>0</v>
      </c>
      <c r="E372" s="1" t="s">
        <v>918</v>
      </c>
      <c r="F372" s="1"/>
      <c r="G372" s="5">
        <f>69.8</f>
        <v>69.8</v>
      </c>
      <c r="H372" s="7">
        <f t="shared" si="5"/>
        <v>0.030446711711515223</v>
      </c>
    </row>
    <row r="373" spans="1:8" ht="14.25" customHeight="1">
      <c r="A373" s="3">
        <f>3</f>
        <v>3</v>
      </c>
      <c r="B373" s="3">
        <f>1</f>
        <v>1</v>
      </c>
      <c r="C373" s="1">
        <f>0</f>
        <v>0</v>
      </c>
      <c r="D373" s="1">
        <f>0</f>
        <v>0</v>
      </c>
      <c r="E373" s="1" t="s">
        <v>1098</v>
      </c>
      <c r="F373" s="1"/>
      <c r="G373" s="5">
        <f>261.8083</f>
        <v>261.8083</v>
      </c>
      <c r="H373" s="7">
        <f t="shared" si="5"/>
        <v>0.11420059933784943</v>
      </c>
    </row>
    <row r="374" spans="1:8" ht="14.25" customHeight="1">
      <c r="A374" s="3">
        <f>3</f>
        <v>3</v>
      </c>
      <c r="B374" s="3">
        <f>1</f>
        <v>1</v>
      </c>
      <c r="C374" s="1">
        <f>0</f>
        <v>0</v>
      </c>
      <c r="D374" s="1">
        <f>0</f>
        <v>0</v>
      </c>
      <c r="E374" s="1" t="s">
        <v>172</v>
      </c>
      <c r="F374" s="1"/>
      <c r="G374" s="5">
        <f>67.7143</f>
        <v>67.7143</v>
      </c>
      <c r="H374" s="7">
        <f t="shared" si="5"/>
        <v>0.029536930814427726</v>
      </c>
    </row>
    <row r="375" spans="1:8" ht="14.25" customHeight="1">
      <c r="A375" s="3">
        <f>3</f>
        <v>3</v>
      </c>
      <c r="B375" s="3">
        <f>1</f>
        <v>1</v>
      </c>
      <c r="C375" s="1">
        <f>0</f>
        <v>0</v>
      </c>
      <c r="D375" s="1">
        <f>0</f>
        <v>0</v>
      </c>
      <c r="E375" s="1" t="s">
        <v>590</v>
      </c>
      <c r="F375" s="1"/>
      <c r="G375" s="5">
        <f>3.3958</f>
        <v>3.3958</v>
      </c>
      <c r="H375" s="7">
        <f t="shared" si="5"/>
        <v>0.0014812456107444613</v>
      </c>
    </row>
    <row r="376" spans="1:8" ht="14.25" customHeight="1">
      <c r="A376" s="3">
        <f>3</f>
        <v>3</v>
      </c>
      <c r="B376" s="3">
        <f>1</f>
        <v>1</v>
      </c>
      <c r="C376" s="1">
        <f>0</f>
        <v>0</v>
      </c>
      <c r="D376" s="1">
        <f>0</f>
        <v>0</v>
      </c>
      <c r="E376" s="1" t="s">
        <v>650</v>
      </c>
      <c r="F376" s="1"/>
      <c r="G376" s="5">
        <f>52.05</f>
        <v>52.05</v>
      </c>
      <c r="H376" s="7">
        <f t="shared" si="5"/>
        <v>0.02270417399118005</v>
      </c>
    </row>
    <row r="377" spans="1:8" ht="14.25" customHeight="1">
      <c r="A377" s="3">
        <f>3</f>
        <v>3</v>
      </c>
      <c r="B377" s="3">
        <f>1</f>
        <v>1</v>
      </c>
      <c r="C377" s="1">
        <f>0</f>
        <v>0</v>
      </c>
      <c r="D377" s="1">
        <f>0</f>
        <v>0</v>
      </c>
      <c r="E377" s="1" t="s">
        <v>1225</v>
      </c>
      <c r="F377" s="1"/>
      <c r="G377" s="5">
        <f>110.375</f>
        <v>110.375</v>
      </c>
      <c r="H377" s="7">
        <f t="shared" si="5"/>
        <v>0.048145498641239154</v>
      </c>
    </row>
    <row r="378" spans="1:8" ht="14.25" customHeight="1">
      <c r="A378" s="3">
        <f>0</f>
        <v>0</v>
      </c>
      <c r="B378" s="3">
        <f>1</f>
        <v>1</v>
      </c>
      <c r="C378" s="1">
        <f>0</f>
        <v>0</v>
      </c>
      <c r="D378" s="1">
        <f>0</f>
        <v>0</v>
      </c>
      <c r="E378" s="1" t="s">
        <v>1259</v>
      </c>
      <c r="F378" s="1" t="s">
        <v>91</v>
      </c>
      <c r="G378" s="5">
        <f>366.1086</f>
        <v>366.1086</v>
      </c>
      <c r="H378" s="7">
        <f t="shared" si="5"/>
        <v>0.15969631804163958</v>
      </c>
    </row>
    <row r="379" spans="1:8" ht="14.25" customHeight="1">
      <c r="A379" s="3">
        <f>3</f>
        <v>3</v>
      </c>
      <c r="B379" s="3">
        <f>1</f>
        <v>1</v>
      </c>
      <c r="C379" s="1">
        <f>0</f>
        <v>0</v>
      </c>
      <c r="D379" s="1">
        <f>0</f>
        <v>0</v>
      </c>
      <c r="E379" s="1" t="s">
        <v>651</v>
      </c>
      <c r="F379" s="1"/>
      <c r="G379" s="5">
        <f>3.3958</f>
        <v>3.3958</v>
      </c>
      <c r="H379" s="7">
        <f t="shared" si="5"/>
        <v>0.0014812456107444613</v>
      </c>
    </row>
    <row r="380" spans="1:8" ht="14.25" customHeight="1">
      <c r="A380" s="3">
        <f>3</f>
        <v>3</v>
      </c>
      <c r="B380" s="3">
        <f>1</f>
        <v>1</v>
      </c>
      <c r="C380" s="1">
        <f>0</f>
        <v>0</v>
      </c>
      <c r="D380" s="1">
        <f>0</f>
        <v>0</v>
      </c>
      <c r="E380" s="1" t="s">
        <v>332</v>
      </c>
      <c r="F380" s="1"/>
      <c r="G380" s="5">
        <f>503.125</f>
        <v>503.125</v>
      </c>
      <c r="H380" s="7">
        <f t="shared" si="5"/>
        <v>0.21946277693203578</v>
      </c>
    </row>
    <row r="381" spans="1:8" ht="14.25" customHeight="1">
      <c r="A381" s="3">
        <f>3</f>
        <v>3</v>
      </c>
      <c r="B381" s="3">
        <f>1</f>
        <v>1</v>
      </c>
      <c r="C381" s="1">
        <f>0</f>
        <v>0</v>
      </c>
      <c r="D381" s="1">
        <f>0</f>
        <v>0</v>
      </c>
      <c r="E381" s="1" t="s">
        <v>1545</v>
      </c>
      <c r="F381" s="1"/>
      <c r="G381" s="5">
        <f>4.08</f>
        <v>4.08</v>
      </c>
      <c r="H381" s="7">
        <f t="shared" si="5"/>
        <v>0.0017796931774066206</v>
      </c>
    </row>
    <row r="382" spans="1:8" ht="14.25" customHeight="1">
      <c r="A382" s="3">
        <f>3</f>
        <v>3</v>
      </c>
      <c r="B382" s="3">
        <f>1</f>
        <v>1</v>
      </c>
      <c r="C382" s="1">
        <f>0</f>
        <v>0</v>
      </c>
      <c r="D382" s="1">
        <f>0</f>
        <v>0</v>
      </c>
      <c r="E382" s="1" t="s">
        <v>693</v>
      </c>
      <c r="F382" s="1"/>
      <c r="G382" s="5">
        <f>25.875</f>
        <v>25.875</v>
      </c>
      <c r="H382" s="7">
        <f t="shared" si="5"/>
        <v>0.01128665709936184</v>
      </c>
    </row>
    <row r="383" spans="1:8" ht="14.25" customHeight="1">
      <c r="A383" s="3">
        <f>3</f>
        <v>3</v>
      </c>
      <c r="B383" s="3">
        <f>1</f>
        <v>1</v>
      </c>
      <c r="C383" s="1">
        <f>0</f>
        <v>0</v>
      </c>
      <c r="D383" s="1">
        <f>0</f>
        <v>0</v>
      </c>
      <c r="E383" s="1" t="s">
        <v>1012</v>
      </c>
      <c r="F383" s="1"/>
      <c r="G383" s="5">
        <f>27.1714</f>
        <v>27.1714</v>
      </c>
      <c r="H383" s="7">
        <f t="shared" si="5"/>
        <v>0.01185214588249663</v>
      </c>
    </row>
    <row r="384" spans="1:8" ht="14.25" customHeight="1">
      <c r="A384" s="3">
        <f>3</f>
        <v>3</v>
      </c>
      <c r="B384" s="3">
        <f>1</f>
        <v>1</v>
      </c>
      <c r="C384" s="1">
        <f>0</f>
        <v>0</v>
      </c>
      <c r="D384" s="1">
        <f>0</f>
        <v>0</v>
      </c>
      <c r="E384" s="1" t="s">
        <v>652</v>
      </c>
      <c r="F384" s="1"/>
      <c r="G384" s="5">
        <f>52.05</f>
        <v>52.05</v>
      </c>
      <c r="H384" s="7">
        <f t="shared" si="5"/>
        <v>0.02270417399118005</v>
      </c>
    </row>
    <row r="385" spans="1:8" ht="14.25" customHeight="1">
      <c r="A385" s="3">
        <f>3</f>
        <v>3</v>
      </c>
      <c r="B385" s="3">
        <f>1</f>
        <v>1</v>
      </c>
      <c r="C385" s="1">
        <f>0</f>
        <v>0</v>
      </c>
      <c r="D385" s="1">
        <f>0</f>
        <v>0</v>
      </c>
      <c r="E385" s="1" t="s">
        <v>518</v>
      </c>
      <c r="F385" s="1"/>
      <c r="G385" s="5">
        <f>2.6</f>
        <v>2.6</v>
      </c>
      <c r="H385" s="7">
        <f t="shared" si="5"/>
        <v>0.0011341182012885329</v>
      </c>
    </row>
    <row r="386" spans="1:8" ht="14.25" customHeight="1">
      <c r="A386" s="3">
        <f>3</f>
        <v>3</v>
      </c>
      <c r="B386" s="3">
        <f>1</f>
        <v>1</v>
      </c>
      <c r="C386" s="1">
        <f>0</f>
        <v>0</v>
      </c>
      <c r="D386" s="1">
        <f>0</f>
        <v>0</v>
      </c>
      <c r="E386" s="1" t="s">
        <v>277</v>
      </c>
      <c r="F386" s="1"/>
      <c r="G386" s="5">
        <f>980</f>
        <v>980</v>
      </c>
      <c r="H386" s="7">
        <f aca="true" t="shared" si="6" ref="H386:H449">SUM(100/229253*G$1:G$65536)</f>
        <v>0.42747532202413924</v>
      </c>
    </row>
    <row r="387" spans="1:8" ht="14.25" customHeight="1">
      <c r="A387" s="3">
        <f>3</f>
        <v>3</v>
      </c>
      <c r="B387" s="3">
        <f>1</f>
        <v>1</v>
      </c>
      <c r="C387" s="1">
        <f>0</f>
        <v>0</v>
      </c>
      <c r="D387" s="1">
        <f>0</f>
        <v>0</v>
      </c>
      <c r="E387" s="1" t="s">
        <v>1146</v>
      </c>
      <c r="F387" s="1"/>
      <c r="G387" s="5">
        <f>56</f>
        <v>56</v>
      </c>
      <c r="H387" s="7">
        <f t="shared" si="6"/>
        <v>0.024427161258522245</v>
      </c>
    </row>
    <row r="388" spans="1:8" ht="14.25" customHeight="1">
      <c r="A388" s="3">
        <f>3</f>
        <v>3</v>
      </c>
      <c r="B388" s="3">
        <f>1</f>
        <v>1</v>
      </c>
      <c r="C388" s="1">
        <f>0</f>
        <v>0</v>
      </c>
      <c r="D388" s="1">
        <f>0</f>
        <v>0</v>
      </c>
      <c r="E388" s="1" t="s">
        <v>278</v>
      </c>
      <c r="F388" s="1"/>
      <c r="G388" s="5">
        <f>144</f>
        <v>144</v>
      </c>
      <c r="H388" s="7">
        <f t="shared" si="6"/>
        <v>0.0628127003790572</v>
      </c>
    </row>
    <row r="389" spans="1:8" ht="14.25" customHeight="1">
      <c r="A389" s="3">
        <f>3</f>
        <v>3</v>
      </c>
      <c r="B389" s="3">
        <f>1</f>
        <v>1</v>
      </c>
      <c r="C389" s="1">
        <f>0</f>
        <v>0</v>
      </c>
      <c r="D389" s="1">
        <f>0</f>
        <v>0</v>
      </c>
      <c r="E389" s="1" t="s">
        <v>745</v>
      </c>
      <c r="F389" s="1"/>
      <c r="G389" s="5">
        <f>29.9375</f>
        <v>29.9375</v>
      </c>
      <c r="H389" s="7">
        <f t="shared" si="6"/>
        <v>0.013058716788875173</v>
      </c>
    </row>
    <row r="390" spans="1:8" ht="14.25" customHeight="1">
      <c r="A390" s="3">
        <f>3</f>
        <v>3</v>
      </c>
      <c r="B390" s="3">
        <f>1</f>
        <v>1</v>
      </c>
      <c r="C390" s="1">
        <f>0</f>
        <v>0</v>
      </c>
      <c r="D390" s="1">
        <f>0</f>
        <v>0</v>
      </c>
      <c r="E390" s="1" t="s">
        <v>539</v>
      </c>
      <c r="F390" s="1"/>
      <c r="G390" s="5">
        <f>219.5</f>
        <v>219.5</v>
      </c>
      <c r="H390" s="7">
        <f t="shared" si="6"/>
        <v>0.09574574814724343</v>
      </c>
    </row>
    <row r="391" spans="1:8" ht="14.25" customHeight="1">
      <c r="A391" s="3">
        <f>3</f>
        <v>3</v>
      </c>
      <c r="B391" s="3">
        <f>1</f>
        <v>1</v>
      </c>
      <c r="C391" s="1">
        <f>0</f>
        <v>0</v>
      </c>
      <c r="D391" s="1">
        <f>0</f>
        <v>0</v>
      </c>
      <c r="E391" s="1" t="s">
        <v>1343</v>
      </c>
      <c r="F391" s="1"/>
      <c r="G391" s="5">
        <f>348</f>
        <v>348</v>
      </c>
      <c r="H391" s="7">
        <f t="shared" si="6"/>
        <v>0.15179735924938823</v>
      </c>
    </row>
    <row r="392" spans="1:8" ht="14.25" customHeight="1">
      <c r="A392" s="3">
        <f>3</f>
        <v>3</v>
      </c>
      <c r="B392" s="3">
        <f>1</f>
        <v>1</v>
      </c>
      <c r="C392" s="1">
        <f>0</f>
        <v>0</v>
      </c>
      <c r="D392" s="1">
        <f>0</f>
        <v>0</v>
      </c>
      <c r="E392" s="1" t="s">
        <v>837</v>
      </c>
      <c r="F392" s="1"/>
      <c r="G392" s="5">
        <f>23.2667</f>
        <v>23.2667</v>
      </c>
      <c r="H392" s="7">
        <f t="shared" si="6"/>
        <v>0.010148918443815347</v>
      </c>
    </row>
    <row r="393" spans="1:8" ht="14.25" customHeight="1">
      <c r="A393" s="3">
        <f>3</f>
        <v>3</v>
      </c>
      <c r="B393" s="3">
        <f>1</f>
        <v>1</v>
      </c>
      <c r="C393" s="1">
        <f>0</f>
        <v>0</v>
      </c>
      <c r="D393" s="1">
        <f>0</f>
        <v>0</v>
      </c>
      <c r="E393" s="1" t="s">
        <v>838</v>
      </c>
      <c r="F393" s="1"/>
      <c r="G393" s="5">
        <f>23.2667</f>
        <v>23.2667</v>
      </c>
      <c r="H393" s="7">
        <f t="shared" si="6"/>
        <v>0.010148918443815347</v>
      </c>
    </row>
    <row r="394" spans="1:8" ht="14.25" customHeight="1">
      <c r="A394" s="3">
        <f>3</f>
        <v>3</v>
      </c>
      <c r="B394" s="3">
        <f>1</f>
        <v>1</v>
      </c>
      <c r="C394" s="1">
        <f>0</f>
        <v>0</v>
      </c>
      <c r="D394" s="1">
        <f>0</f>
        <v>0</v>
      </c>
      <c r="E394" s="1" t="s">
        <v>1036</v>
      </c>
      <c r="F394" s="1"/>
      <c r="G394" s="5">
        <f>17.9</f>
        <v>17.9</v>
      </c>
      <c r="H394" s="7">
        <f t="shared" si="6"/>
        <v>0.007807967616563359</v>
      </c>
    </row>
    <row r="395" spans="1:8" ht="14.25" customHeight="1">
      <c r="A395" s="3">
        <f>3</f>
        <v>3</v>
      </c>
      <c r="B395" s="3">
        <f>1</f>
        <v>1</v>
      </c>
      <c r="C395" s="1">
        <f>0</f>
        <v>0</v>
      </c>
      <c r="D395" s="1">
        <f>0</f>
        <v>0</v>
      </c>
      <c r="E395" s="1" t="s">
        <v>1157</v>
      </c>
      <c r="F395" s="1"/>
      <c r="G395" s="5">
        <f>25.875</f>
        <v>25.875</v>
      </c>
      <c r="H395" s="7">
        <f t="shared" si="6"/>
        <v>0.01128665709936184</v>
      </c>
    </row>
    <row r="396" spans="1:8" ht="14.25" customHeight="1">
      <c r="A396" s="3">
        <f>3</f>
        <v>3</v>
      </c>
      <c r="B396" s="3">
        <f>1</f>
        <v>1</v>
      </c>
      <c r="C396" s="1">
        <f>0</f>
        <v>0</v>
      </c>
      <c r="D396" s="1">
        <f>0</f>
        <v>0</v>
      </c>
      <c r="E396" s="1" t="s">
        <v>1158</v>
      </c>
      <c r="F396" s="1"/>
      <c r="G396" s="5">
        <f>52.05</f>
        <v>52.05</v>
      </c>
      <c r="H396" s="7">
        <f t="shared" si="6"/>
        <v>0.02270417399118005</v>
      </c>
    </row>
    <row r="397" spans="1:8" ht="14.25" customHeight="1">
      <c r="A397" s="3">
        <f>3</f>
        <v>3</v>
      </c>
      <c r="B397" s="3">
        <f>1</f>
        <v>1</v>
      </c>
      <c r="C397" s="1">
        <f>0</f>
        <v>0</v>
      </c>
      <c r="D397" s="1">
        <f>0</f>
        <v>0</v>
      </c>
      <c r="E397" s="1" t="s">
        <v>0</v>
      </c>
      <c r="F397" s="1"/>
      <c r="G397" s="5">
        <f>35.2214</f>
        <v>35.2214</v>
      </c>
      <c r="H397" s="7">
        <f t="shared" si="6"/>
        <v>0.015363550313409203</v>
      </c>
    </row>
    <row r="398" spans="1:8" ht="14.25" customHeight="1">
      <c r="A398" s="3">
        <f>3</f>
        <v>3</v>
      </c>
      <c r="B398" s="3">
        <f>1</f>
        <v>1</v>
      </c>
      <c r="C398" s="1">
        <f>0</f>
        <v>0</v>
      </c>
      <c r="D398" s="1">
        <f>0</f>
        <v>0</v>
      </c>
      <c r="E398" s="1" t="s">
        <v>1109</v>
      </c>
      <c r="F398" s="1"/>
      <c r="G398" s="5">
        <f>91.2214</f>
        <v>91.2214</v>
      </c>
      <c r="H398" s="7">
        <f t="shared" si="6"/>
        <v>0.039790711571931446</v>
      </c>
    </row>
    <row r="399" spans="1:8" ht="14.25" customHeight="1">
      <c r="A399" s="3">
        <f>3</f>
        <v>3</v>
      </c>
      <c r="B399" s="3">
        <f>1</f>
        <v>1</v>
      </c>
      <c r="C399" s="1">
        <f>0</f>
        <v>0</v>
      </c>
      <c r="D399" s="1">
        <f>0</f>
        <v>0</v>
      </c>
      <c r="E399" s="1" t="s">
        <v>509</v>
      </c>
      <c r="F399" s="1"/>
      <c r="G399" s="5">
        <f>20.75</f>
        <v>20.75</v>
      </c>
      <c r="H399" s="7">
        <f t="shared" si="6"/>
        <v>0.009051135644898867</v>
      </c>
    </row>
    <row r="400" spans="1:8" ht="14.25" customHeight="1">
      <c r="A400" s="3">
        <f>3</f>
        <v>3</v>
      </c>
      <c r="B400" s="3">
        <f>1</f>
        <v>1</v>
      </c>
      <c r="C400" s="1">
        <f>0</f>
        <v>0</v>
      </c>
      <c r="D400" s="1">
        <f>0</f>
        <v>0</v>
      </c>
      <c r="E400" s="1" t="s">
        <v>333</v>
      </c>
      <c r="F400" s="1"/>
      <c r="G400" s="5">
        <f>58.8285</f>
        <v>58.8285</v>
      </c>
      <c r="H400" s="7">
        <f t="shared" si="6"/>
        <v>0.02566095100173171</v>
      </c>
    </row>
    <row r="401" spans="1:8" ht="14.25" customHeight="1">
      <c r="A401" s="3">
        <f>3</f>
        <v>3</v>
      </c>
      <c r="B401" s="3">
        <f>1</f>
        <v>1</v>
      </c>
      <c r="C401" s="1">
        <f>0</f>
        <v>0</v>
      </c>
      <c r="D401" s="1">
        <f>0</f>
        <v>0</v>
      </c>
      <c r="E401" s="1" t="s">
        <v>653</v>
      </c>
      <c r="F401" s="1"/>
      <c r="G401" s="5">
        <f>52.05</f>
        <v>52.05</v>
      </c>
      <c r="H401" s="7">
        <f t="shared" si="6"/>
        <v>0.02270417399118005</v>
      </c>
    </row>
    <row r="402" spans="1:8" ht="14.25" customHeight="1">
      <c r="A402" s="3">
        <f>3</f>
        <v>3</v>
      </c>
      <c r="B402" s="3">
        <f>1</f>
        <v>1</v>
      </c>
      <c r="C402" s="1">
        <f>0</f>
        <v>0</v>
      </c>
      <c r="D402" s="1">
        <f>0</f>
        <v>0</v>
      </c>
      <c r="E402" s="1" t="s">
        <v>279</v>
      </c>
      <c r="F402" s="1"/>
      <c r="G402" s="5">
        <f>271.3125</f>
        <v>271.3125</v>
      </c>
      <c r="H402" s="7">
        <f t="shared" si="6"/>
        <v>0.11834632480272886</v>
      </c>
    </row>
    <row r="403" spans="1:8" ht="14.25" customHeight="1">
      <c r="A403" s="3">
        <f>3</f>
        <v>3</v>
      </c>
      <c r="B403" s="3">
        <f>1</f>
        <v>1</v>
      </c>
      <c r="C403" s="1">
        <f>0</f>
        <v>0</v>
      </c>
      <c r="D403" s="1">
        <f>0</f>
        <v>0</v>
      </c>
      <c r="E403" s="1" t="s">
        <v>1013</v>
      </c>
      <c r="F403" s="1"/>
      <c r="G403" s="5">
        <f>91.8274</f>
        <v>91.8274</v>
      </c>
      <c r="H403" s="7">
        <f t="shared" si="6"/>
        <v>0.04005504835269331</v>
      </c>
    </row>
    <row r="404" spans="1:8" ht="14.25" customHeight="1">
      <c r="A404" s="3">
        <f>3</f>
        <v>3</v>
      </c>
      <c r="B404" s="3">
        <f>1</f>
        <v>1</v>
      </c>
      <c r="C404" s="1">
        <f>0</f>
        <v>0</v>
      </c>
      <c r="D404" s="1">
        <f>0</f>
        <v>0</v>
      </c>
      <c r="E404" s="1" t="s">
        <v>746</v>
      </c>
      <c r="F404" s="1"/>
      <c r="G404" s="5">
        <f>326.262</f>
        <v>326.262</v>
      </c>
      <c r="H404" s="7">
        <f t="shared" si="6"/>
        <v>0.1423152586879997</v>
      </c>
    </row>
    <row r="405" spans="1:8" ht="14.25" customHeight="1">
      <c r="A405" s="3">
        <f>3</f>
        <v>3</v>
      </c>
      <c r="B405" s="3">
        <f>1</f>
        <v>1</v>
      </c>
      <c r="C405" s="1">
        <f>0</f>
        <v>0</v>
      </c>
      <c r="D405" s="1">
        <f>0</f>
        <v>0</v>
      </c>
      <c r="E405" s="1" t="s">
        <v>1238</v>
      </c>
      <c r="F405" s="1"/>
      <c r="G405" s="5">
        <f>57.55</f>
        <v>57.55</v>
      </c>
      <c r="H405" s="7">
        <f t="shared" si="6"/>
        <v>0.025103270186213483</v>
      </c>
    </row>
    <row r="406" spans="1:8" ht="14.25" customHeight="1">
      <c r="A406" s="3">
        <f>3</f>
        <v>3</v>
      </c>
      <c r="B406" s="3">
        <f>1</f>
        <v>1</v>
      </c>
      <c r="C406" s="1">
        <f>0</f>
        <v>0</v>
      </c>
      <c r="D406" s="1">
        <f>0</f>
        <v>0</v>
      </c>
      <c r="E406" s="1" t="s">
        <v>1511</v>
      </c>
      <c r="F406" s="1"/>
      <c r="G406" s="5">
        <f>10.1481</f>
        <v>10.1481</v>
      </c>
      <c r="H406" s="7">
        <f t="shared" si="6"/>
        <v>0.0044265941994216</v>
      </c>
    </row>
    <row r="407" spans="1:8" ht="14.25" customHeight="1">
      <c r="A407" s="3">
        <f>3</f>
        <v>3</v>
      </c>
      <c r="B407" s="3">
        <f>1</f>
        <v>1</v>
      </c>
      <c r="C407" s="1">
        <f>0</f>
        <v>0</v>
      </c>
      <c r="D407" s="1">
        <f>0</f>
        <v>0</v>
      </c>
      <c r="E407" s="1" t="s">
        <v>960</v>
      </c>
      <c r="F407" s="1"/>
      <c r="G407" s="5">
        <f>161.3333</f>
        <v>161.3333</v>
      </c>
      <c r="H407" s="7">
        <f t="shared" si="6"/>
        <v>0.07037347384767048</v>
      </c>
    </row>
    <row r="408" spans="1:8" ht="14.25" customHeight="1">
      <c r="A408" s="3">
        <f>3</f>
        <v>3</v>
      </c>
      <c r="B408" s="3">
        <f>1</f>
        <v>1</v>
      </c>
      <c r="C408" s="1">
        <f>0</f>
        <v>0</v>
      </c>
      <c r="D408" s="1">
        <f>0</f>
        <v>0</v>
      </c>
      <c r="E408" s="1" t="s">
        <v>1099</v>
      </c>
      <c r="F408" s="1"/>
      <c r="G408" s="5">
        <f>161.3333</f>
        <v>161.3333</v>
      </c>
      <c r="H408" s="7">
        <f t="shared" si="6"/>
        <v>0.07037347384767048</v>
      </c>
    </row>
    <row r="409" spans="1:8" ht="14.25" customHeight="1">
      <c r="A409" s="3">
        <f>3</f>
        <v>3</v>
      </c>
      <c r="B409" s="3">
        <f>1</f>
        <v>1</v>
      </c>
      <c r="C409" s="1">
        <f>0</f>
        <v>0</v>
      </c>
      <c r="D409" s="1">
        <f>0</f>
        <v>0</v>
      </c>
      <c r="E409" s="1" t="s">
        <v>1068</v>
      </c>
      <c r="F409" s="1"/>
      <c r="G409" s="5">
        <f>15.9762</f>
        <v>15.9762</v>
      </c>
      <c r="H409" s="7">
        <f t="shared" si="6"/>
        <v>0.006968807387471483</v>
      </c>
    </row>
    <row r="410" spans="1:8" ht="14.25" customHeight="1">
      <c r="A410" s="3">
        <f>3</f>
        <v>3</v>
      </c>
      <c r="B410" s="3">
        <f>1</f>
        <v>1</v>
      </c>
      <c r="C410" s="1">
        <f>0</f>
        <v>0</v>
      </c>
      <c r="D410" s="1">
        <f>0</f>
        <v>0</v>
      </c>
      <c r="E410" s="1" t="s">
        <v>961</v>
      </c>
      <c r="F410" s="1"/>
      <c r="G410" s="5">
        <f>95.4894</f>
        <v>95.4894</v>
      </c>
      <c r="H410" s="7">
        <f t="shared" si="6"/>
        <v>0.041652410219277396</v>
      </c>
    </row>
    <row r="411" spans="1:8" ht="14.25" customHeight="1">
      <c r="A411" s="3">
        <f>3</f>
        <v>3</v>
      </c>
      <c r="B411" s="3">
        <f>1</f>
        <v>1</v>
      </c>
      <c r="C411" s="1">
        <f>0</f>
        <v>0</v>
      </c>
      <c r="D411" s="1">
        <f>0</f>
        <v>0</v>
      </c>
      <c r="E411" s="1" t="s">
        <v>173</v>
      </c>
      <c r="F411" s="1"/>
      <c r="G411" s="5">
        <f>215.2</f>
        <v>215.2</v>
      </c>
      <c r="H411" s="7">
        <f t="shared" si="6"/>
        <v>0.09387009112203547</v>
      </c>
    </row>
    <row r="412" spans="1:8" ht="14.25" customHeight="1">
      <c r="A412" s="3">
        <f>0</f>
        <v>0</v>
      </c>
      <c r="B412" s="3">
        <f>1</f>
        <v>1</v>
      </c>
      <c r="C412" s="1">
        <f>0</f>
        <v>0</v>
      </c>
      <c r="D412" s="1">
        <f>0</f>
        <v>0</v>
      </c>
      <c r="E412" s="1" t="s">
        <v>896</v>
      </c>
      <c r="F412" s="1" t="s">
        <v>23</v>
      </c>
      <c r="G412" s="5">
        <f>33.8571</f>
        <v>33.8571</v>
      </c>
      <c r="H412" s="7">
        <f t="shared" si="6"/>
        <v>0.014768443597248455</v>
      </c>
    </row>
    <row r="413" spans="1:8" ht="14.25" customHeight="1">
      <c r="A413" s="3">
        <f>0</f>
        <v>0</v>
      </c>
      <c r="B413" s="3">
        <f>1</f>
        <v>1</v>
      </c>
      <c r="C413" s="1">
        <f>0</f>
        <v>0</v>
      </c>
      <c r="D413" s="1">
        <f>0</f>
        <v>0</v>
      </c>
      <c r="E413" s="1" t="s">
        <v>816</v>
      </c>
      <c r="F413" s="1" t="s">
        <v>1218</v>
      </c>
      <c r="G413" s="5">
        <f>33.8571</f>
        <v>33.8571</v>
      </c>
      <c r="H413" s="7">
        <f t="shared" si="6"/>
        <v>0.014768443597248455</v>
      </c>
    </row>
    <row r="414" spans="1:8" ht="14.25" customHeight="1">
      <c r="A414" s="3">
        <f>3</f>
        <v>3</v>
      </c>
      <c r="B414" s="3">
        <f>1</f>
        <v>1</v>
      </c>
      <c r="C414" s="1">
        <f>0</f>
        <v>0</v>
      </c>
      <c r="D414" s="1">
        <f>0</f>
        <v>0</v>
      </c>
      <c r="E414" s="1" t="s">
        <v>1115</v>
      </c>
      <c r="F414" s="1"/>
      <c r="G414" s="5">
        <f>11.75</f>
        <v>11.75</v>
      </c>
      <c r="H414" s="7">
        <f t="shared" si="6"/>
        <v>0.005125341871207792</v>
      </c>
    </row>
    <row r="415" spans="1:8" ht="14.25" customHeight="1">
      <c r="A415" s="3">
        <f>3</f>
        <v>3</v>
      </c>
      <c r="B415" s="3">
        <f>1</f>
        <v>1</v>
      </c>
      <c r="C415" s="1">
        <f>0</f>
        <v>0</v>
      </c>
      <c r="D415" s="1">
        <f>0</f>
        <v>0</v>
      </c>
      <c r="E415" s="1" t="s">
        <v>723</v>
      </c>
      <c r="F415" s="1"/>
      <c r="G415" s="5">
        <f>70.5</f>
        <v>70.5</v>
      </c>
      <c r="H415" s="7">
        <f t="shared" si="6"/>
        <v>0.03075205122724675</v>
      </c>
    </row>
    <row r="416" spans="1:8" ht="14.25" customHeight="1">
      <c r="A416" s="3">
        <f>3</f>
        <v>3</v>
      </c>
      <c r="B416" s="3">
        <f>1</f>
        <v>1</v>
      </c>
      <c r="C416" s="1">
        <f>0</f>
        <v>0</v>
      </c>
      <c r="D416" s="1">
        <f>0</f>
        <v>0</v>
      </c>
      <c r="E416" s="1" t="s">
        <v>1546</v>
      </c>
      <c r="F416" s="1"/>
      <c r="G416" s="5">
        <f>131</f>
        <v>131</v>
      </c>
      <c r="H416" s="7">
        <f t="shared" si="6"/>
        <v>0.05714210937261453</v>
      </c>
    </row>
    <row r="417" spans="1:8" ht="14.25" customHeight="1">
      <c r="A417" s="3">
        <f>3</f>
        <v>3</v>
      </c>
      <c r="B417" s="3">
        <f>1</f>
        <v>1</v>
      </c>
      <c r="C417" s="1">
        <f>0</f>
        <v>0</v>
      </c>
      <c r="D417" s="1">
        <f>0</f>
        <v>0</v>
      </c>
      <c r="E417" s="1" t="s">
        <v>708</v>
      </c>
      <c r="F417" s="1"/>
      <c r="G417" s="5">
        <f>67.7143</f>
        <v>67.7143</v>
      </c>
      <c r="H417" s="7">
        <f t="shared" si="6"/>
        <v>0.029536930814427726</v>
      </c>
    </row>
    <row r="418" spans="1:8" ht="14.25" customHeight="1">
      <c r="A418" s="3">
        <f>3</f>
        <v>3</v>
      </c>
      <c r="B418" s="3">
        <f>1</f>
        <v>1</v>
      </c>
      <c r="C418" s="1">
        <f>0</f>
        <v>0</v>
      </c>
      <c r="D418" s="1">
        <f>0</f>
        <v>0</v>
      </c>
      <c r="E418" s="1" t="s">
        <v>1079</v>
      </c>
      <c r="F418" s="1"/>
      <c r="G418" s="5">
        <f>38.2153</f>
        <v>38.2153</v>
      </c>
      <c r="H418" s="7">
        <f t="shared" si="6"/>
        <v>0.016669487422192947</v>
      </c>
    </row>
    <row r="419" spans="1:8" ht="14.25" customHeight="1">
      <c r="A419" s="3">
        <f>0</f>
        <v>0</v>
      </c>
      <c r="B419" s="3">
        <f>1</f>
        <v>1</v>
      </c>
      <c r="C419" s="1">
        <f>0</f>
        <v>0</v>
      </c>
      <c r="D419" s="1">
        <f>0</f>
        <v>0</v>
      </c>
      <c r="E419" s="1" t="s">
        <v>1211</v>
      </c>
      <c r="F419" s="1" t="s">
        <v>23</v>
      </c>
      <c r="G419" s="5">
        <f>1408</f>
        <v>1408</v>
      </c>
      <c r="H419" s="7">
        <f t="shared" si="6"/>
        <v>0.6141686259285593</v>
      </c>
    </row>
    <row r="420" spans="1:8" ht="14.25" customHeight="1">
      <c r="A420" s="3">
        <f>3</f>
        <v>3</v>
      </c>
      <c r="B420" s="3">
        <f>1</f>
        <v>1</v>
      </c>
      <c r="C420" s="1">
        <f>0</f>
        <v>0</v>
      </c>
      <c r="D420" s="1">
        <f>0</f>
        <v>0</v>
      </c>
      <c r="E420" s="1" t="s">
        <v>962</v>
      </c>
      <c r="F420" s="1"/>
      <c r="G420" s="5">
        <f>216.8333</f>
        <v>216.8333</v>
      </c>
      <c r="H420" s="7">
        <f t="shared" si="6"/>
        <v>0.09458253545209877</v>
      </c>
    </row>
    <row r="421" spans="1:8" ht="14.25" customHeight="1">
      <c r="A421" s="3">
        <f>3</f>
        <v>3</v>
      </c>
      <c r="B421" s="3">
        <f>1</f>
        <v>1</v>
      </c>
      <c r="C421" s="1">
        <f>0</f>
        <v>0</v>
      </c>
      <c r="D421" s="1">
        <f>0</f>
        <v>0</v>
      </c>
      <c r="E421" s="1" t="s">
        <v>793</v>
      </c>
      <c r="F421" s="1"/>
      <c r="G421" s="5">
        <f>11.75</f>
        <v>11.75</v>
      </c>
      <c r="H421" s="7">
        <f t="shared" si="6"/>
        <v>0.005125341871207792</v>
      </c>
    </row>
    <row r="422" spans="1:8" ht="14.25" customHeight="1">
      <c r="A422" s="3">
        <f>3</f>
        <v>3</v>
      </c>
      <c r="B422" s="3">
        <f>1</f>
        <v>1</v>
      </c>
      <c r="C422" s="1">
        <f>0</f>
        <v>0</v>
      </c>
      <c r="D422" s="1">
        <f>0</f>
        <v>0</v>
      </c>
      <c r="E422" s="1" t="s">
        <v>1110</v>
      </c>
      <c r="F422" s="1"/>
      <c r="G422" s="5">
        <f>12</f>
        <v>12</v>
      </c>
      <c r="H422" s="7">
        <f t="shared" si="6"/>
        <v>0.005234391698254766</v>
      </c>
    </row>
    <row r="423" spans="1:8" ht="14.25" customHeight="1">
      <c r="A423" s="3">
        <f>3</f>
        <v>3</v>
      </c>
      <c r="B423" s="3">
        <f>1</f>
        <v>1</v>
      </c>
      <c r="C423" s="1">
        <f>0</f>
        <v>0</v>
      </c>
      <c r="D423" s="1">
        <f>0</f>
        <v>0</v>
      </c>
      <c r="E423" s="1" t="s">
        <v>709</v>
      </c>
      <c r="F423" s="1"/>
      <c r="G423" s="5">
        <f>317</f>
        <v>317</v>
      </c>
      <c r="H423" s="7">
        <f t="shared" si="6"/>
        <v>0.1382751806955634</v>
      </c>
    </row>
    <row r="424" spans="1:8" ht="14.25" customHeight="1">
      <c r="A424" s="3">
        <f>3</f>
        <v>3</v>
      </c>
      <c r="B424" s="3">
        <f>1</f>
        <v>1</v>
      </c>
      <c r="C424" s="1">
        <f>0</f>
        <v>0</v>
      </c>
      <c r="D424" s="1">
        <f>0</f>
        <v>0</v>
      </c>
      <c r="E424" s="1" t="s">
        <v>1409</v>
      </c>
      <c r="F424" s="1"/>
      <c r="G424" s="5">
        <f>111.5635</f>
        <v>111.5635</v>
      </c>
      <c r="H424" s="7">
        <f t="shared" si="6"/>
        <v>0.04866392151902047</v>
      </c>
    </row>
    <row r="425" spans="1:8" ht="14.25" customHeight="1">
      <c r="A425" s="3">
        <f>0</f>
        <v>0</v>
      </c>
      <c r="B425" s="3">
        <f>1</f>
        <v>1</v>
      </c>
      <c r="C425" s="1">
        <f>0</f>
        <v>0</v>
      </c>
      <c r="D425" s="1">
        <f>0</f>
        <v>0</v>
      </c>
      <c r="E425" s="1" t="s">
        <v>218</v>
      </c>
      <c r="F425" s="1" t="s">
        <v>439</v>
      </c>
      <c r="G425" s="5">
        <f>202.3333</f>
        <v>202.3333</v>
      </c>
      <c r="H425" s="7">
        <f t="shared" si="6"/>
        <v>0.08825764548337427</v>
      </c>
    </row>
    <row r="426" spans="1:8" ht="14.25" customHeight="1">
      <c r="A426" s="3">
        <f>0</f>
        <v>0</v>
      </c>
      <c r="B426" s="3">
        <f>1</f>
        <v>1</v>
      </c>
      <c r="C426" s="1">
        <f>0</f>
        <v>0</v>
      </c>
      <c r="D426" s="1">
        <f>0</f>
        <v>0</v>
      </c>
      <c r="E426" s="1" t="s">
        <v>218</v>
      </c>
      <c r="F426" s="1" t="s">
        <v>439</v>
      </c>
      <c r="G426" s="5">
        <f>314</f>
        <v>314</v>
      </c>
      <c r="H426" s="7">
        <f t="shared" si="6"/>
        <v>0.1369665827709997</v>
      </c>
    </row>
    <row r="427" spans="1:8" ht="14.25" customHeight="1">
      <c r="A427" s="3">
        <f>3</f>
        <v>3</v>
      </c>
      <c r="B427" s="3">
        <f>1</f>
        <v>1</v>
      </c>
      <c r="C427" s="1">
        <f>0</f>
        <v>0</v>
      </c>
      <c r="D427" s="1">
        <f>0</f>
        <v>0</v>
      </c>
      <c r="E427" s="1" t="s">
        <v>880</v>
      </c>
      <c r="F427" s="1"/>
      <c r="G427" s="5">
        <f>5.0741</f>
        <v>5.0741</v>
      </c>
      <c r="H427" s="7">
        <f t="shared" si="6"/>
        <v>0.002213318909676209</v>
      </c>
    </row>
    <row r="428" spans="1:8" ht="14.25" customHeight="1">
      <c r="A428" s="3">
        <f>3</f>
        <v>3</v>
      </c>
      <c r="B428" s="3">
        <f>1</f>
        <v>1</v>
      </c>
      <c r="C428" s="1">
        <f>0</f>
        <v>0</v>
      </c>
      <c r="D428" s="1">
        <f>0</f>
        <v>0</v>
      </c>
      <c r="E428" s="1" t="s">
        <v>821</v>
      </c>
      <c r="F428" s="1"/>
      <c r="G428" s="5">
        <f>217.5</f>
        <v>217.5</v>
      </c>
      <c r="H428" s="7">
        <f t="shared" si="6"/>
        <v>0.09487334953086764</v>
      </c>
    </row>
    <row r="429" spans="1:8" ht="14.25" customHeight="1">
      <c r="A429" s="3">
        <f>3</f>
        <v>3</v>
      </c>
      <c r="B429" s="3">
        <f>1</f>
        <v>1</v>
      </c>
      <c r="C429" s="1">
        <f>0</f>
        <v>0</v>
      </c>
      <c r="D429" s="1">
        <f>0</f>
        <v>0</v>
      </c>
      <c r="E429" s="1" t="s">
        <v>1547</v>
      </c>
      <c r="F429" s="1"/>
      <c r="G429" s="5">
        <f>33.1875</f>
        <v>33.1875</v>
      </c>
      <c r="H429" s="7">
        <f t="shared" si="6"/>
        <v>0.014476364540485839</v>
      </c>
    </row>
    <row r="430" spans="1:8" ht="14.25" customHeight="1">
      <c r="A430" s="3">
        <f>3</f>
        <v>3</v>
      </c>
      <c r="B430" s="3">
        <f>1</f>
        <v>1</v>
      </c>
      <c r="C430" s="1">
        <f>0</f>
        <v>0</v>
      </c>
      <c r="D430" s="1">
        <f>0</f>
        <v>0</v>
      </c>
      <c r="E430" s="1" t="s">
        <v>1085</v>
      </c>
      <c r="F430" s="1"/>
      <c r="G430" s="5">
        <f>92.0361</f>
        <v>92.0361</v>
      </c>
      <c r="H430" s="7">
        <f t="shared" si="6"/>
        <v>0.040146083148312126</v>
      </c>
    </row>
    <row r="431" spans="1:8" ht="14.25" customHeight="1">
      <c r="A431" s="3">
        <f>3</f>
        <v>3</v>
      </c>
      <c r="B431" s="3">
        <f>1</f>
        <v>1</v>
      </c>
      <c r="C431" s="1">
        <f>0</f>
        <v>0</v>
      </c>
      <c r="D431" s="1">
        <f>0</f>
        <v>0</v>
      </c>
      <c r="E431" s="1" t="s">
        <v>1361</v>
      </c>
      <c r="F431" s="1"/>
      <c r="G431" s="5">
        <f>16.5938</f>
        <v>16.5938</v>
      </c>
      <c r="H431" s="7">
        <f t="shared" si="6"/>
        <v>0.007238204080208329</v>
      </c>
    </row>
    <row r="432" spans="1:8" ht="14.25" customHeight="1">
      <c r="A432" s="3">
        <f>0</f>
        <v>0</v>
      </c>
      <c r="B432" s="3">
        <f>1</f>
        <v>1</v>
      </c>
      <c r="C432" s="1">
        <f>0</f>
        <v>0</v>
      </c>
      <c r="D432" s="1">
        <f>0</f>
        <v>0</v>
      </c>
      <c r="E432" s="1" t="s">
        <v>97</v>
      </c>
      <c r="F432" s="1" t="s">
        <v>757</v>
      </c>
      <c r="G432" s="5">
        <f>140.3</f>
        <v>140.3</v>
      </c>
      <c r="H432" s="7">
        <f t="shared" si="6"/>
        <v>0.06119876293876198</v>
      </c>
    </row>
    <row r="433" spans="1:8" ht="14.25" customHeight="1">
      <c r="A433" s="3">
        <f>0</f>
        <v>0</v>
      </c>
      <c r="B433" s="3">
        <f>1</f>
        <v>1</v>
      </c>
      <c r="C433" s="1">
        <f>0</f>
        <v>0</v>
      </c>
      <c r="D433" s="1">
        <f>0</f>
        <v>0</v>
      </c>
      <c r="E433" s="1" t="s">
        <v>1458</v>
      </c>
      <c r="F433" s="1" t="s">
        <v>1482</v>
      </c>
      <c r="G433" s="5">
        <f>484</f>
        <v>484</v>
      </c>
      <c r="H433" s="7">
        <f t="shared" si="6"/>
        <v>0.21112046516294225</v>
      </c>
    </row>
    <row r="434" spans="1:8" ht="14.25" customHeight="1">
      <c r="A434" s="3">
        <f>0</f>
        <v>0</v>
      </c>
      <c r="B434" s="3">
        <f>1</f>
        <v>1</v>
      </c>
      <c r="C434" s="1">
        <f>0</f>
        <v>0</v>
      </c>
      <c r="D434" s="1">
        <f>0</f>
        <v>0</v>
      </c>
      <c r="E434" s="1" t="s">
        <v>1457</v>
      </c>
      <c r="F434" s="1" t="s">
        <v>321</v>
      </c>
      <c r="G434" s="5">
        <f>56.1667</f>
        <v>56.1667</v>
      </c>
      <c r="H434" s="7">
        <f t="shared" si="6"/>
        <v>0.024499875683197166</v>
      </c>
    </row>
    <row r="435" spans="1:8" ht="14.25" customHeight="1">
      <c r="A435" s="3">
        <f>3</f>
        <v>3</v>
      </c>
      <c r="B435" s="3">
        <f>1</f>
        <v>1</v>
      </c>
      <c r="C435" s="1">
        <f>0</f>
        <v>0</v>
      </c>
      <c r="D435" s="1">
        <f>0</f>
        <v>0</v>
      </c>
      <c r="E435" s="1" t="s">
        <v>1512</v>
      </c>
      <c r="F435" s="1"/>
      <c r="G435" s="5">
        <f>299.1139</f>
        <v>299.1139</v>
      </c>
      <c r="H435" s="7">
        <f t="shared" si="6"/>
        <v>0.13047327624938387</v>
      </c>
    </row>
    <row r="436" spans="1:8" ht="14.25" customHeight="1">
      <c r="A436" s="3">
        <f>0</f>
        <v>0</v>
      </c>
      <c r="B436" s="3">
        <f>1</f>
        <v>1</v>
      </c>
      <c r="C436" s="1">
        <f>0</f>
        <v>0</v>
      </c>
      <c r="D436" s="1">
        <f>0</f>
        <v>0</v>
      </c>
      <c r="E436" s="1" t="s">
        <v>500</v>
      </c>
      <c r="F436" s="1" t="s">
        <v>164</v>
      </c>
      <c r="G436" s="5">
        <f>44.6667</f>
        <v>44.6667</v>
      </c>
      <c r="H436" s="7">
        <f t="shared" si="6"/>
        <v>0.019483583639036347</v>
      </c>
    </row>
    <row r="437" spans="1:8" ht="14.25" customHeight="1">
      <c r="A437" s="3">
        <f>3</f>
        <v>3</v>
      </c>
      <c r="B437" s="3">
        <f>1</f>
        <v>1</v>
      </c>
      <c r="C437" s="1">
        <f>0</f>
        <v>0</v>
      </c>
      <c r="D437" s="1">
        <f>0</f>
        <v>0</v>
      </c>
      <c r="E437" s="1" t="s">
        <v>280</v>
      </c>
      <c r="F437" s="1"/>
      <c r="G437" s="5">
        <f>16.5938</f>
        <v>16.5938</v>
      </c>
      <c r="H437" s="7">
        <f t="shared" si="6"/>
        <v>0.007238204080208329</v>
      </c>
    </row>
    <row r="438" spans="1:8" ht="14.25" customHeight="1">
      <c r="A438" s="3">
        <f>3</f>
        <v>3</v>
      </c>
      <c r="B438" s="3">
        <f>1</f>
        <v>1</v>
      </c>
      <c r="C438" s="1">
        <f>0</f>
        <v>0</v>
      </c>
      <c r="D438" s="1">
        <f>0</f>
        <v>0</v>
      </c>
      <c r="E438" s="1" t="s">
        <v>1513</v>
      </c>
      <c r="F438" s="1"/>
      <c r="G438" s="5">
        <f>26.8889</f>
        <v>26.8889</v>
      </c>
      <c r="H438" s="7">
        <f t="shared" si="6"/>
        <v>0.011728919577933549</v>
      </c>
    </row>
    <row r="439" spans="1:8" ht="14.25" customHeight="1">
      <c r="A439" s="3">
        <f>3</f>
        <v>3</v>
      </c>
      <c r="B439" s="3">
        <f>1</f>
        <v>1</v>
      </c>
      <c r="C439" s="1">
        <f>0</f>
        <v>0</v>
      </c>
      <c r="D439" s="1">
        <f>0</f>
        <v>0</v>
      </c>
      <c r="E439" s="1" t="s">
        <v>196</v>
      </c>
      <c r="F439" s="1"/>
      <c r="G439" s="5">
        <f>28</f>
        <v>28</v>
      </c>
      <c r="H439" s="7">
        <f t="shared" si="6"/>
        <v>0.012213580629261122</v>
      </c>
    </row>
    <row r="440" spans="1:8" ht="14.25" customHeight="1">
      <c r="A440" s="3">
        <f>3</f>
        <v>3</v>
      </c>
      <c r="B440" s="3">
        <f>1</f>
        <v>1</v>
      </c>
      <c r="C440" s="1">
        <f>0</f>
        <v>0</v>
      </c>
      <c r="D440" s="1">
        <f>0</f>
        <v>0</v>
      </c>
      <c r="E440" s="1" t="s">
        <v>919</v>
      </c>
      <c r="F440" s="1"/>
      <c r="G440" s="5">
        <f>57.35</f>
        <v>57.35</v>
      </c>
      <c r="H440" s="7">
        <f t="shared" si="6"/>
        <v>0.025016030324575906</v>
      </c>
    </row>
    <row r="441" spans="1:8" ht="14.25" customHeight="1">
      <c r="A441" s="3">
        <f>3</f>
        <v>3</v>
      </c>
      <c r="B441" s="3">
        <f>1</f>
        <v>1</v>
      </c>
      <c r="C441" s="1">
        <f>0</f>
        <v>0</v>
      </c>
      <c r="D441" s="1">
        <f>0</f>
        <v>0</v>
      </c>
      <c r="E441" s="1" t="s">
        <v>778</v>
      </c>
      <c r="F441" s="1"/>
      <c r="G441" s="5">
        <f>11.5263</f>
        <v>11.5263</v>
      </c>
      <c r="H441" s="7">
        <f t="shared" si="6"/>
        <v>0.00502776408596616</v>
      </c>
    </row>
    <row r="442" spans="1:8" ht="14.25" customHeight="1">
      <c r="A442" s="3">
        <f>3</f>
        <v>3</v>
      </c>
      <c r="B442" s="3">
        <f>1</f>
        <v>1</v>
      </c>
      <c r="C442" s="1">
        <f>0</f>
        <v>0</v>
      </c>
      <c r="D442" s="1">
        <f>0</f>
        <v>0</v>
      </c>
      <c r="E442" s="1" t="s">
        <v>779</v>
      </c>
      <c r="F442" s="1"/>
      <c r="G442" s="5">
        <f>6.8421</f>
        <v>6.8421</v>
      </c>
      <c r="H442" s="7">
        <f t="shared" si="6"/>
        <v>0.0029845192865524117</v>
      </c>
    </row>
    <row r="443" spans="1:8" ht="14.25" customHeight="1">
      <c r="A443" s="3">
        <f>3</f>
        <v>3</v>
      </c>
      <c r="B443" s="3">
        <f>1</f>
        <v>1</v>
      </c>
      <c r="C443" s="1">
        <f>0</f>
        <v>0</v>
      </c>
      <c r="D443" s="1">
        <f>0</f>
        <v>0</v>
      </c>
      <c r="E443" s="1" t="s">
        <v>1410</v>
      </c>
      <c r="F443" s="1"/>
      <c r="G443" s="5">
        <f>135.8167</f>
        <v>135.8167</v>
      </c>
      <c r="H443" s="7">
        <f t="shared" si="6"/>
        <v>0.059243150580363176</v>
      </c>
    </row>
    <row r="444" spans="1:8" ht="14.25" customHeight="1">
      <c r="A444" s="3">
        <f>3</f>
        <v>3</v>
      </c>
      <c r="B444" s="3">
        <f>1</f>
        <v>1</v>
      </c>
      <c r="C444" s="1">
        <f>0</f>
        <v>0</v>
      </c>
      <c r="D444" s="1">
        <f>0</f>
        <v>0</v>
      </c>
      <c r="E444" s="1" t="s">
        <v>1273</v>
      </c>
      <c r="F444" s="1"/>
      <c r="G444" s="5">
        <f>81.025</f>
        <v>81.025</v>
      </c>
      <c r="H444" s="7">
        <f t="shared" si="6"/>
        <v>0.035343048945924375</v>
      </c>
    </row>
    <row r="445" spans="1:8" ht="14.25" customHeight="1">
      <c r="A445" s="3">
        <f>3</f>
        <v>3</v>
      </c>
      <c r="B445" s="3">
        <f>1</f>
        <v>1</v>
      </c>
      <c r="C445" s="1">
        <f>0</f>
        <v>0</v>
      </c>
      <c r="D445" s="1">
        <f>0</f>
        <v>0</v>
      </c>
      <c r="E445" s="1" t="s">
        <v>1459</v>
      </c>
      <c r="F445" s="1"/>
      <c r="G445" s="5">
        <f>39.9</f>
        <v>39.9</v>
      </c>
      <c r="H445" s="7">
        <f t="shared" si="6"/>
        <v>0.017404352396697097</v>
      </c>
    </row>
    <row r="446" spans="1:8" ht="14.25" customHeight="1">
      <c r="A446" s="3">
        <f>3</f>
        <v>3</v>
      </c>
      <c r="B446" s="3">
        <f>1</f>
        <v>1</v>
      </c>
      <c r="C446" s="1">
        <f>0</f>
        <v>0</v>
      </c>
      <c r="D446" s="1">
        <f>0</f>
        <v>0</v>
      </c>
      <c r="E446" s="1" t="s">
        <v>174</v>
      </c>
      <c r="F446" s="1"/>
      <c r="G446" s="5">
        <f>122.0972</f>
        <v>122.0972</v>
      </c>
      <c r="H446" s="7">
        <f t="shared" si="6"/>
        <v>0.05325871417167932</v>
      </c>
    </row>
    <row r="447" spans="1:8" ht="14.25" customHeight="1">
      <c r="A447" s="3">
        <f>3</f>
        <v>3</v>
      </c>
      <c r="B447" s="3">
        <f>1</f>
        <v>1</v>
      </c>
      <c r="C447" s="1">
        <f>0</f>
        <v>0</v>
      </c>
      <c r="D447" s="1">
        <f>0</f>
        <v>0</v>
      </c>
      <c r="E447" s="1" t="s">
        <v>591</v>
      </c>
      <c r="F447" s="1"/>
      <c r="G447" s="5">
        <f>86.8</f>
        <v>86.8</v>
      </c>
      <c r="H447" s="7">
        <f t="shared" si="6"/>
        <v>0.03786209995070947</v>
      </c>
    </row>
    <row r="448" spans="1:8" ht="14.25" customHeight="1">
      <c r="A448" s="3">
        <f>0</f>
        <v>0</v>
      </c>
      <c r="B448" s="3">
        <f>1</f>
        <v>1</v>
      </c>
      <c r="C448" s="1">
        <f>0</f>
        <v>0</v>
      </c>
      <c r="D448" s="1">
        <f>0</f>
        <v>0</v>
      </c>
      <c r="E448" s="1" t="s">
        <v>1080</v>
      </c>
      <c r="F448" s="1" t="s">
        <v>1483</v>
      </c>
      <c r="G448" s="5">
        <f>1279.1667</f>
        <v>1279.1667</v>
      </c>
      <c r="H448" s="7">
        <f t="shared" si="6"/>
        <v>0.5579716295969954</v>
      </c>
    </row>
    <row r="449" spans="1:8" ht="14.25" customHeight="1">
      <c r="A449" s="3">
        <f>3</f>
        <v>3</v>
      </c>
      <c r="B449" s="3">
        <f>1</f>
        <v>1</v>
      </c>
      <c r="C449" s="1">
        <f>0</f>
        <v>0</v>
      </c>
      <c r="D449" s="1">
        <f>0</f>
        <v>0</v>
      </c>
      <c r="E449" s="1" t="s">
        <v>614</v>
      </c>
      <c r="F449" s="1"/>
      <c r="G449" s="5">
        <f>16.5833</f>
        <v>16.5833</v>
      </c>
      <c r="H449" s="7">
        <f t="shared" si="6"/>
        <v>0.007233623987472356</v>
      </c>
    </row>
    <row r="450" spans="1:8" ht="14.25" customHeight="1">
      <c r="A450" s="3">
        <f>3</f>
        <v>3</v>
      </c>
      <c r="B450" s="3">
        <f>1</f>
        <v>1</v>
      </c>
      <c r="C450" s="1">
        <f>0</f>
        <v>0</v>
      </c>
      <c r="D450" s="1">
        <f>0</f>
        <v>0</v>
      </c>
      <c r="E450" s="1" t="s">
        <v>710</v>
      </c>
      <c r="F450" s="1"/>
      <c r="G450" s="5">
        <f>5.125</f>
        <v>5.125</v>
      </c>
      <c r="H450" s="7">
        <f aca="true" t="shared" si="7" ref="H450:H513">SUM(100/229253*G$1:G$65536)</f>
        <v>0.002235521454462973</v>
      </c>
    </row>
    <row r="451" spans="1:8" ht="14.25" customHeight="1">
      <c r="A451" s="3">
        <f>3</f>
        <v>3</v>
      </c>
      <c r="B451" s="3">
        <f>1</f>
        <v>1</v>
      </c>
      <c r="C451" s="1">
        <f>0</f>
        <v>0</v>
      </c>
      <c r="D451" s="1">
        <f>0</f>
        <v>0</v>
      </c>
      <c r="E451" s="1" t="s">
        <v>661</v>
      </c>
      <c r="F451" s="1"/>
      <c r="G451" s="5">
        <f>181.6094</f>
        <v>181.6094</v>
      </c>
      <c r="H451" s="7">
        <f t="shared" si="7"/>
        <v>0.07921789464041909</v>
      </c>
    </row>
    <row r="452" spans="1:8" ht="14.25" customHeight="1">
      <c r="A452" s="3">
        <f>3</f>
        <v>3</v>
      </c>
      <c r="B452" s="3">
        <f>1</f>
        <v>1</v>
      </c>
      <c r="C452" s="1">
        <f>0</f>
        <v>0</v>
      </c>
      <c r="D452" s="1">
        <f>0</f>
        <v>0</v>
      </c>
      <c r="E452" s="1" t="s">
        <v>1548</v>
      </c>
      <c r="F452" s="1"/>
      <c r="G452" s="5">
        <f>88.5</f>
        <v>88.5</v>
      </c>
      <c r="H452" s="7">
        <f t="shared" si="7"/>
        <v>0.038603638774628905</v>
      </c>
    </row>
    <row r="453" spans="1:8" ht="14.25" customHeight="1">
      <c r="A453" s="3">
        <f>3</f>
        <v>3</v>
      </c>
      <c r="B453" s="3">
        <f>1</f>
        <v>1</v>
      </c>
      <c r="C453" s="1">
        <f>0</f>
        <v>0</v>
      </c>
      <c r="D453" s="1">
        <f>0</f>
        <v>0</v>
      </c>
      <c r="E453" s="1" t="s">
        <v>1549</v>
      </c>
      <c r="F453" s="1"/>
      <c r="G453" s="5">
        <f>172.5</f>
        <v>172.5</v>
      </c>
      <c r="H453" s="7">
        <f t="shared" si="7"/>
        <v>0.07524438066241226</v>
      </c>
    </row>
    <row r="454" spans="1:8" ht="14.25" customHeight="1">
      <c r="A454" s="3">
        <f>3</f>
        <v>3</v>
      </c>
      <c r="B454" s="3">
        <f>1</f>
        <v>1</v>
      </c>
      <c r="C454" s="1">
        <f>0</f>
        <v>0</v>
      </c>
      <c r="D454" s="1">
        <f>0</f>
        <v>0</v>
      </c>
      <c r="E454" s="1" t="s">
        <v>219</v>
      </c>
      <c r="F454" s="1"/>
      <c r="G454" s="5">
        <f>67.5</f>
        <v>67.5</v>
      </c>
      <c r="H454" s="7">
        <f t="shared" si="7"/>
        <v>0.02944345330268306</v>
      </c>
    </row>
    <row r="455" spans="1:8" ht="14.25" customHeight="1">
      <c r="A455" s="3">
        <f>3</f>
        <v>3</v>
      </c>
      <c r="B455" s="3">
        <f>1</f>
        <v>1</v>
      </c>
      <c r="C455" s="1">
        <f>0</f>
        <v>0</v>
      </c>
      <c r="D455" s="1">
        <f>0</f>
        <v>0</v>
      </c>
      <c r="E455" s="1" t="s">
        <v>632</v>
      </c>
      <c r="F455" s="1"/>
      <c r="G455" s="5">
        <f>43.4</f>
        <v>43.4</v>
      </c>
      <c r="H455" s="7">
        <f t="shared" si="7"/>
        <v>0.018931049975354736</v>
      </c>
    </row>
    <row r="456" spans="1:8" ht="14.25" customHeight="1">
      <c r="A456" s="3">
        <f>3</f>
        <v>3</v>
      </c>
      <c r="B456" s="3">
        <f>1</f>
        <v>1</v>
      </c>
      <c r="C456" s="1">
        <f>0</f>
        <v>0</v>
      </c>
      <c r="D456" s="1">
        <f>0</f>
        <v>0</v>
      </c>
      <c r="E456" s="1" t="s">
        <v>839</v>
      </c>
      <c r="F456" s="1"/>
      <c r="G456" s="5">
        <f>66.3333</f>
        <v>66.3333</v>
      </c>
      <c r="H456" s="7">
        <f t="shared" si="7"/>
        <v>0.02893453956982024</v>
      </c>
    </row>
    <row r="457" spans="1:8" ht="14.25" customHeight="1">
      <c r="A457" s="3">
        <f>3</f>
        <v>3</v>
      </c>
      <c r="B457" s="3">
        <f>1</f>
        <v>1</v>
      </c>
      <c r="C457" s="1">
        <f>0</f>
        <v>0</v>
      </c>
      <c r="D457" s="1">
        <f>0</f>
        <v>0</v>
      </c>
      <c r="E457" s="1" t="s">
        <v>654</v>
      </c>
      <c r="F457" s="1"/>
      <c r="G457" s="5">
        <f>66.3333</f>
        <v>66.3333</v>
      </c>
      <c r="H457" s="7">
        <f t="shared" si="7"/>
        <v>0.02893453956982024</v>
      </c>
    </row>
    <row r="458" spans="1:8" ht="14.25" customHeight="1">
      <c r="A458" s="3">
        <f>0</f>
        <v>0</v>
      </c>
      <c r="B458" s="3">
        <f>1</f>
        <v>1</v>
      </c>
      <c r="C458" s="1">
        <f>0</f>
        <v>0</v>
      </c>
      <c r="D458" s="1">
        <f>0</f>
        <v>0</v>
      </c>
      <c r="E458" s="1" t="s">
        <v>1326</v>
      </c>
      <c r="F458" s="1" t="s">
        <v>87</v>
      </c>
      <c r="G458" s="5">
        <f>132.5</f>
        <v>132.5</v>
      </c>
      <c r="H458" s="7">
        <f t="shared" si="7"/>
        <v>0.05779640833489638</v>
      </c>
    </row>
    <row r="459" spans="1:8" ht="14.25" customHeight="1">
      <c r="A459" s="3">
        <f>0</f>
        <v>0</v>
      </c>
      <c r="B459" s="3">
        <f>1</f>
        <v>1</v>
      </c>
      <c r="C459" s="1">
        <f>0</f>
        <v>0</v>
      </c>
      <c r="D459" s="1">
        <f>0</f>
        <v>0</v>
      </c>
      <c r="E459" s="1" t="s">
        <v>1249</v>
      </c>
      <c r="F459" s="1" t="s">
        <v>1390</v>
      </c>
      <c r="G459" s="5">
        <f>6.4722</f>
        <v>6.4722</v>
      </c>
      <c r="H459" s="7">
        <f t="shared" si="7"/>
        <v>0.0028231691624537084</v>
      </c>
    </row>
    <row r="460" spans="1:8" ht="14.25" customHeight="1">
      <c r="A460" s="3">
        <f>3</f>
        <v>3</v>
      </c>
      <c r="B460" s="3">
        <f>1</f>
        <v>1</v>
      </c>
      <c r="C460" s="1">
        <f>0</f>
        <v>0</v>
      </c>
      <c r="D460" s="1">
        <f>0</f>
        <v>0</v>
      </c>
      <c r="E460" s="1" t="s">
        <v>764</v>
      </c>
      <c r="F460" s="1"/>
      <c r="G460" s="5">
        <f>2.4</f>
        <v>2.4</v>
      </c>
      <c r="H460" s="7">
        <f t="shared" si="7"/>
        <v>0.0010468783396509532</v>
      </c>
    </row>
    <row r="461" spans="1:8" ht="14.25" customHeight="1">
      <c r="A461" s="3">
        <f>3</f>
        <v>3</v>
      </c>
      <c r="B461" s="3">
        <f>1</f>
        <v>1</v>
      </c>
      <c r="C461" s="1">
        <f>0</f>
        <v>0</v>
      </c>
      <c r="D461" s="1">
        <f>0</f>
        <v>0</v>
      </c>
      <c r="E461" s="1" t="s">
        <v>1069</v>
      </c>
      <c r="F461" s="1"/>
      <c r="G461" s="5">
        <f>111.5</f>
        <v>111.5</v>
      </c>
      <c r="H461" s="7">
        <f t="shared" si="7"/>
        <v>0.04863622286295054</v>
      </c>
    </row>
    <row r="462" spans="1:8" ht="14.25" customHeight="1">
      <c r="A462" s="3">
        <f>3</f>
        <v>3</v>
      </c>
      <c r="B462" s="3">
        <f>1</f>
        <v>1</v>
      </c>
      <c r="C462" s="1">
        <f>0</f>
        <v>0</v>
      </c>
      <c r="D462" s="1">
        <f>0</f>
        <v>0</v>
      </c>
      <c r="E462" s="1" t="s">
        <v>963</v>
      </c>
      <c r="F462" s="1"/>
      <c r="G462" s="5">
        <f>300</f>
        <v>300</v>
      </c>
      <c r="H462" s="7">
        <f t="shared" si="7"/>
        <v>0.13085979245636917</v>
      </c>
    </row>
    <row r="463" spans="1:8" ht="14.25" customHeight="1">
      <c r="A463" s="3">
        <f>0</f>
        <v>0</v>
      </c>
      <c r="B463" s="3">
        <f>1</f>
        <v>1</v>
      </c>
      <c r="C463" s="1">
        <f>0</f>
        <v>0</v>
      </c>
      <c r="D463" s="1">
        <f>0</f>
        <v>0</v>
      </c>
      <c r="E463" s="1" t="s">
        <v>897</v>
      </c>
      <c r="F463" s="1" t="s">
        <v>1528</v>
      </c>
      <c r="G463" s="5">
        <f>34.7068</f>
        <v>34.7068</v>
      </c>
      <c r="H463" s="7">
        <f t="shared" si="7"/>
        <v>0.01513908214941571</v>
      </c>
    </row>
    <row r="464" spans="1:8" ht="14.25" customHeight="1">
      <c r="A464" s="3">
        <f>3</f>
        <v>3</v>
      </c>
      <c r="B464" s="3">
        <f>1</f>
        <v>1</v>
      </c>
      <c r="C464" s="1">
        <f>0</f>
        <v>0</v>
      </c>
      <c r="D464" s="1">
        <f>0</f>
        <v>0</v>
      </c>
      <c r="E464" s="1" t="s">
        <v>864</v>
      </c>
      <c r="F464" s="1"/>
      <c r="G464" s="5">
        <f>15.8333</f>
        <v>15.8333</v>
      </c>
      <c r="H464" s="7">
        <f t="shared" si="7"/>
        <v>0.006906474506331433</v>
      </c>
    </row>
    <row r="465" spans="1:8" ht="14.25" customHeight="1">
      <c r="A465" s="3">
        <f>0</f>
        <v>0</v>
      </c>
      <c r="B465" s="3">
        <f>1</f>
        <v>1</v>
      </c>
      <c r="C465" s="1">
        <f>0</f>
        <v>0</v>
      </c>
      <c r="D465" s="1">
        <f>0</f>
        <v>0</v>
      </c>
      <c r="E465" s="1" t="s">
        <v>422</v>
      </c>
      <c r="F465" s="1" t="s">
        <v>376</v>
      </c>
      <c r="G465" s="5">
        <f>507</f>
        <v>507</v>
      </c>
      <c r="H465" s="7">
        <f t="shared" si="7"/>
        <v>0.2211530492512639</v>
      </c>
    </row>
    <row r="466" spans="1:8" ht="14.25" customHeight="1">
      <c r="A466" s="3">
        <f>3</f>
        <v>3</v>
      </c>
      <c r="B466" s="3">
        <f>1</f>
        <v>1</v>
      </c>
      <c r="C466" s="1">
        <f>0</f>
        <v>0</v>
      </c>
      <c r="D466" s="1">
        <f>0</f>
        <v>0</v>
      </c>
      <c r="E466" s="1" t="s">
        <v>40</v>
      </c>
      <c r="F466" s="1"/>
      <c r="G466" s="5">
        <f>597.75</f>
        <v>597.75</v>
      </c>
      <c r="H466" s="7">
        <f t="shared" si="7"/>
        <v>0.26073813646931554</v>
      </c>
    </row>
    <row r="467" spans="1:8" ht="14.25" customHeight="1">
      <c r="A467" s="3">
        <f>0</f>
        <v>0</v>
      </c>
      <c r="B467" s="3">
        <f>1</f>
        <v>1</v>
      </c>
      <c r="C467" s="1">
        <f>0</f>
        <v>0</v>
      </c>
      <c r="D467" s="1">
        <f>0</f>
        <v>0</v>
      </c>
      <c r="E467" s="1" t="s">
        <v>300</v>
      </c>
      <c r="F467" s="1" t="s">
        <v>1591</v>
      </c>
      <c r="G467" s="5">
        <f>24.1875</f>
        <v>24.1875</v>
      </c>
      <c r="H467" s="7">
        <f t="shared" si="7"/>
        <v>0.010550570766794764</v>
      </c>
    </row>
    <row r="468" spans="1:8" ht="14.25" customHeight="1">
      <c r="A468" s="3">
        <f>3</f>
        <v>3</v>
      </c>
      <c r="B468" s="3">
        <f>1</f>
        <v>1</v>
      </c>
      <c r="C468" s="1">
        <f>0</f>
        <v>0</v>
      </c>
      <c r="D468" s="1">
        <f>0</f>
        <v>0</v>
      </c>
      <c r="E468" s="1" t="s">
        <v>572</v>
      </c>
      <c r="F468" s="1"/>
      <c r="G468" s="5">
        <f>40.25</f>
        <v>40.25</v>
      </c>
      <c r="H468" s="7">
        <f t="shared" si="7"/>
        <v>0.01755702215456286</v>
      </c>
    </row>
    <row r="469" spans="1:8" ht="14.25" customHeight="1">
      <c r="A469" s="3">
        <f>3</f>
        <v>3</v>
      </c>
      <c r="B469" s="3">
        <f>1</f>
        <v>1</v>
      </c>
      <c r="C469" s="1">
        <f>0</f>
        <v>0</v>
      </c>
      <c r="D469" s="1">
        <f>0</f>
        <v>0</v>
      </c>
      <c r="E469" s="1" t="s">
        <v>633</v>
      </c>
      <c r="F469" s="1"/>
      <c r="G469" s="5">
        <f>114.6667</f>
        <v>114.6667</v>
      </c>
      <c r="H469" s="7">
        <f t="shared" si="7"/>
        <v>0.05001753521218916</v>
      </c>
    </row>
    <row r="470" spans="1:8" ht="14.25" customHeight="1">
      <c r="A470" s="3">
        <f>3</f>
        <v>3</v>
      </c>
      <c r="B470" s="3">
        <f>1</f>
        <v>1</v>
      </c>
      <c r="C470" s="1">
        <f>0</f>
        <v>0</v>
      </c>
      <c r="D470" s="1">
        <f>0</f>
        <v>0</v>
      </c>
      <c r="E470" s="1" t="s">
        <v>765</v>
      </c>
      <c r="F470" s="1"/>
      <c r="G470" s="5">
        <f>50.8333</f>
        <v>50.8333</v>
      </c>
      <c r="H470" s="7">
        <f t="shared" si="7"/>
        <v>0.022173450292907834</v>
      </c>
    </row>
    <row r="471" spans="1:8" ht="14.25" customHeight="1">
      <c r="A471" s="3">
        <f>0</f>
        <v>0</v>
      </c>
      <c r="B471" s="3">
        <f>1</f>
        <v>1</v>
      </c>
      <c r="C471" s="1">
        <f>0</f>
        <v>0</v>
      </c>
      <c r="D471" s="1">
        <f>0</f>
        <v>0</v>
      </c>
      <c r="E471" s="1" t="s">
        <v>840</v>
      </c>
      <c r="F471" s="1" t="s">
        <v>1389</v>
      </c>
      <c r="G471" s="5">
        <f>466</f>
        <v>466</v>
      </c>
      <c r="H471" s="7">
        <f t="shared" si="7"/>
        <v>0.2032688776155601</v>
      </c>
    </row>
    <row r="472" spans="1:8" ht="14.25" customHeight="1">
      <c r="A472" s="3">
        <f>3</f>
        <v>3</v>
      </c>
      <c r="B472" s="3">
        <f>1</f>
        <v>1</v>
      </c>
      <c r="C472" s="1">
        <f>0</f>
        <v>0</v>
      </c>
      <c r="D472" s="1">
        <f>0</f>
        <v>0</v>
      </c>
      <c r="E472" s="1" t="s">
        <v>559</v>
      </c>
      <c r="F472" s="1"/>
      <c r="G472" s="5">
        <f>396.4167</f>
        <v>396.4167</v>
      </c>
      <c r="H472" s="7">
        <f t="shared" si="7"/>
        <v>0.17291669029412918</v>
      </c>
    </row>
    <row r="473" spans="1:8" ht="14.25" customHeight="1">
      <c r="A473" s="3">
        <f>0</f>
        <v>0</v>
      </c>
      <c r="B473" s="3">
        <f>1</f>
        <v>1</v>
      </c>
      <c r="C473" s="1">
        <f>0</f>
        <v>0</v>
      </c>
      <c r="D473" s="1">
        <f>0</f>
        <v>0</v>
      </c>
      <c r="E473" s="1" t="s">
        <v>898</v>
      </c>
      <c r="F473" s="1" t="s">
        <v>1585</v>
      </c>
      <c r="G473" s="5">
        <f>53.2125</f>
        <v>53.2125</v>
      </c>
      <c r="H473" s="7">
        <f t="shared" si="7"/>
        <v>0.02321125568694848</v>
      </c>
    </row>
    <row r="474" spans="1:8" ht="14.25" customHeight="1">
      <c r="A474" s="3">
        <f>3</f>
        <v>3</v>
      </c>
      <c r="B474" s="3">
        <f>1</f>
        <v>1</v>
      </c>
      <c r="C474" s="1">
        <f>0</f>
        <v>0</v>
      </c>
      <c r="D474" s="1">
        <f>0</f>
        <v>0</v>
      </c>
      <c r="E474" s="1" t="s">
        <v>592</v>
      </c>
      <c r="F474" s="1"/>
      <c r="G474" s="5">
        <f>114.6667</f>
        <v>114.6667</v>
      </c>
      <c r="H474" s="7">
        <f t="shared" si="7"/>
        <v>0.05001753521218916</v>
      </c>
    </row>
    <row r="475" spans="1:8" ht="14.25" customHeight="1">
      <c r="A475" s="3">
        <f>3</f>
        <v>3</v>
      </c>
      <c r="B475" s="3">
        <f>1</f>
        <v>1</v>
      </c>
      <c r="C475" s="1">
        <f>0</f>
        <v>0</v>
      </c>
      <c r="D475" s="1">
        <f>0</f>
        <v>0</v>
      </c>
      <c r="E475" s="1" t="s">
        <v>1081</v>
      </c>
      <c r="F475" s="1"/>
      <c r="G475" s="5">
        <f>39.4722</f>
        <v>39.4722</v>
      </c>
      <c r="H475" s="7">
        <f t="shared" si="7"/>
        <v>0.017217746332654316</v>
      </c>
    </row>
    <row r="476" spans="1:8" ht="14.25" customHeight="1">
      <c r="A476" s="3">
        <f>3</f>
        <v>3</v>
      </c>
      <c r="B476" s="3">
        <f>1</f>
        <v>1</v>
      </c>
      <c r="C476" s="1">
        <f>0</f>
        <v>0</v>
      </c>
      <c r="D476" s="1">
        <f>0</f>
        <v>0</v>
      </c>
      <c r="E476" s="1" t="s">
        <v>510</v>
      </c>
      <c r="F476" s="1"/>
      <c r="G476" s="5">
        <f>26</f>
        <v>26</v>
      </c>
      <c r="H476" s="7">
        <f t="shared" si="7"/>
        <v>0.011341182012885326</v>
      </c>
    </row>
    <row r="477" spans="1:8" ht="14.25" customHeight="1">
      <c r="A477" s="3">
        <f>3</f>
        <v>3</v>
      </c>
      <c r="B477" s="3">
        <f>1</f>
        <v>1</v>
      </c>
      <c r="C477" s="1">
        <f>0</f>
        <v>0</v>
      </c>
      <c r="D477" s="1">
        <f>0</f>
        <v>0</v>
      </c>
      <c r="E477" s="1" t="s">
        <v>220</v>
      </c>
      <c r="F477" s="1"/>
      <c r="G477" s="5">
        <f>40.5429</f>
        <v>40.5429</v>
      </c>
      <c r="H477" s="7">
        <f t="shared" si="7"/>
        <v>0.0176847849319311</v>
      </c>
    </row>
    <row r="478" spans="1:8" ht="14.25" customHeight="1">
      <c r="A478" s="3">
        <f>3</f>
        <v>3</v>
      </c>
      <c r="B478" s="3">
        <f>1</f>
        <v>1</v>
      </c>
      <c r="C478" s="1">
        <f>0</f>
        <v>0</v>
      </c>
      <c r="D478" s="1">
        <f>0</f>
        <v>0</v>
      </c>
      <c r="E478" s="1" t="s">
        <v>694</v>
      </c>
      <c r="F478" s="1"/>
      <c r="G478" s="5">
        <f>223.5</f>
        <v>223.5</v>
      </c>
      <c r="H478" s="7">
        <f t="shared" si="7"/>
        <v>0.09749054537999502</v>
      </c>
    </row>
    <row r="479" spans="1:8" ht="14.25" customHeight="1">
      <c r="A479" s="3">
        <f>3</f>
        <v>3</v>
      </c>
      <c r="B479" s="3">
        <f>1</f>
        <v>1</v>
      </c>
      <c r="C479" s="1">
        <f>0</f>
        <v>0</v>
      </c>
      <c r="D479" s="1">
        <f>0</f>
        <v>0</v>
      </c>
      <c r="E479" s="1" t="s">
        <v>582</v>
      </c>
      <c r="F479" s="1"/>
      <c r="G479" s="5">
        <f>298.8</f>
        <v>298.8</v>
      </c>
      <c r="H479" s="7">
        <f t="shared" si="7"/>
        <v>0.1303363532865437</v>
      </c>
    </row>
    <row r="480" spans="1:8" ht="14.25" customHeight="1">
      <c r="A480" s="3">
        <f>3</f>
        <v>3</v>
      </c>
      <c r="B480" s="3">
        <f>1</f>
        <v>1</v>
      </c>
      <c r="C480" s="1">
        <f>0</f>
        <v>0</v>
      </c>
      <c r="D480" s="1">
        <f>0</f>
        <v>0</v>
      </c>
      <c r="E480" s="1" t="s">
        <v>1411</v>
      </c>
      <c r="F480" s="1"/>
      <c r="G480" s="5">
        <f>177</f>
        <v>177</v>
      </c>
      <c r="H480" s="7">
        <f t="shared" si="7"/>
        <v>0.07720727754925781</v>
      </c>
    </row>
    <row r="481" spans="1:8" ht="14.25" customHeight="1">
      <c r="A481" s="3">
        <f>3</f>
        <v>3</v>
      </c>
      <c r="B481" s="3">
        <f>1</f>
        <v>1</v>
      </c>
      <c r="C481" s="1">
        <f>0</f>
        <v>0</v>
      </c>
      <c r="D481" s="1">
        <f>0</f>
        <v>0</v>
      </c>
      <c r="E481" s="1" t="s">
        <v>899</v>
      </c>
      <c r="F481" s="1"/>
      <c r="G481" s="5">
        <f>40.75</f>
        <v>40.75</v>
      </c>
      <c r="H481" s="7">
        <f t="shared" si="7"/>
        <v>0.01777512180865681</v>
      </c>
    </row>
    <row r="482" spans="1:8" ht="14.25" customHeight="1">
      <c r="A482" s="3">
        <f>0</f>
        <v>0</v>
      </c>
      <c r="B482" s="3">
        <f>1</f>
        <v>1</v>
      </c>
      <c r="C482" s="1">
        <f>0</f>
        <v>0</v>
      </c>
      <c r="D482" s="1">
        <f>0</f>
        <v>0</v>
      </c>
      <c r="E482" s="1" t="s">
        <v>423</v>
      </c>
      <c r="F482" s="1" t="s">
        <v>1524</v>
      </c>
      <c r="G482" s="5">
        <f>22.9568</f>
        <v>22.9568</v>
      </c>
      <c r="H482" s="7">
        <f t="shared" si="7"/>
        <v>0.010013740278207919</v>
      </c>
    </row>
    <row r="483" spans="1:8" ht="14.25" customHeight="1">
      <c r="A483" s="3">
        <f>0</f>
        <v>0</v>
      </c>
      <c r="B483" s="3">
        <f>1</f>
        <v>1</v>
      </c>
      <c r="C483" s="1">
        <f>0</f>
        <v>0</v>
      </c>
      <c r="D483" s="1">
        <f>0</f>
        <v>0</v>
      </c>
      <c r="E483" s="1" t="s">
        <v>1250</v>
      </c>
      <c r="F483" s="1" t="s">
        <v>1270</v>
      </c>
      <c r="G483" s="5">
        <f>183.05</f>
        <v>183.05</v>
      </c>
      <c r="H483" s="7">
        <f t="shared" si="7"/>
        <v>0.07984628336379458</v>
      </c>
    </row>
    <row r="484" spans="1:8" ht="14.25" customHeight="1">
      <c r="A484" s="3">
        <f>0</f>
        <v>0</v>
      </c>
      <c r="B484" s="3">
        <f>1</f>
        <v>1</v>
      </c>
      <c r="C484" s="1">
        <f>0</f>
        <v>0</v>
      </c>
      <c r="D484" s="1">
        <f>0</f>
        <v>0</v>
      </c>
      <c r="E484" s="1" t="s">
        <v>865</v>
      </c>
      <c r="F484" s="1" t="s">
        <v>247</v>
      </c>
      <c r="G484" s="5">
        <f>151.6205</f>
        <v>151.6205</v>
      </c>
      <c r="H484" s="7">
        <f t="shared" si="7"/>
        <v>0.06613675720710306</v>
      </c>
    </row>
    <row r="485" spans="1:8" ht="14.25" customHeight="1">
      <c r="A485" s="3">
        <f>3</f>
        <v>3</v>
      </c>
      <c r="B485" s="3">
        <f>1</f>
        <v>1</v>
      </c>
      <c r="C485" s="1">
        <f>0</f>
        <v>0</v>
      </c>
      <c r="D485" s="1">
        <f>0</f>
        <v>0</v>
      </c>
      <c r="E485" s="1" t="s">
        <v>1412</v>
      </c>
      <c r="F485" s="1"/>
      <c r="G485" s="5">
        <f>50.8333</f>
        <v>50.8333</v>
      </c>
      <c r="H485" s="7">
        <f t="shared" si="7"/>
        <v>0.022173450292907834</v>
      </c>
    </row>
    <row r="486" spans="1:8" ht="14.25" customHeight="1">
      <c r="A486" s="3">
        <f>3</f>
        <v>3</v>
      </c>
      <c r="B486" s="3">
        <f>1</f>
        <v>1</v>
      </c>
      <c r="C486" s="1">
        <f>0</f>
        <v>0</v>
      </c>
      <c r="D486" s="1">
        <f>0</f>
        <v>0</v>
      </c>
      <c r="E486" s="1" t="s">
        <v>325</v>
      </c>
      <c r="F486" s="1"/>
      <c r="G486" s="5">
        <f>113.3194</f>
        <v>113.3194</v>
      </c>
      <c r="H486" s="7">
        <f t="shared" si="7"/>
        <v>0.0494298438842676</v>
      </c>
    </row>
    <row r="487" spans="1:8" ht="14.25" customHeight="1">
      <c r="A487" s="3">
        <f>0</f>
        <v>0</v>
      </c>
      <c r="B487" s="3">
        <f>1</f>
        <v>1</v>
      </c>
      <c r="C487" s="1">
        <f>0</f>
        <v>0</v>
      </c>
      <c r="D487" s="1">
        <f>0</f>
        <v>0</v>
      </c>
      <c r="E487" s="1" t="s">
        <v>461</v>
      </c>
      <c r="F487" s="1" t="s">
        <v>210</v>
      </c>
      <c r="G487" s="5">
        <f>190.3833</f>
        <v>190.3833</v>
      </c>
      <c r="H487" s="7">
        <f t="shared" si="7"/>
        <v>0.08304506375052889</v>
      </c>
    </row>
    <row r="488" spans="1:8" ht="14.25" customHeight="1">
      <c r="A488" s="3">
        <f>0</f>
        <v>0</v>
      </c>
      <c r="B488" s="3">
        <f>1</f>
        <v>1</v>
      </c>
      <c r="C488" s="1">
        <f>0</f>
        <v>0</v>
      </c>
      <c r="D488" s="1">
        <f>0</f>
        <v>0</v>
      </c>
      <c r="E488" s="1" t="s">
        <v>1219</v>
      </c>
      <c r="F488" s="1" t="s">
        <v>1584</v>
      </c>
      <c r="G488" s="5">
        <f>77.5</f>
        <v>77.5</v>
      </c>
      <c r="H488" s="7">
        <f t="shared" si="7"/>
        <v>0.03380544638456203</v>
      </c>
    </row>
    <row r="489" spans="1:8" ht="14.25" customHeight="1">
      <c r="A489" s="3">
        <f>0</f>
        <v>0</v>
      </c>
      <c r="B489" s="3">
        <f>1</f>
        <v>1</v>
      </c>
      <c r="C489" s="1">
        <f>0</f>
        <v>0</v>
      </c>
      <c r="D489" s="1">
        <f>0</f>
        <v>0</v>
      </c>
      <c r="E489" s="1" t="s">
        <v>1077</v>
      </c>
      <c r="F489" s="1" t="s">
        <v>1027</v>
      </c>
      <c r="G489" s="5">
        <f>864</f>
        <v>864</v>
      </c>
      <c r="H489" s="7">
        <f t="shared" si="7"/>
        <v>0.3768762022743432</v>
      </c>
    </row>
    <row r="490" spans="1:8" ht="14.25" customHeight="1">
      <c r="A490" s="3">
        <f>0</f>
        <v>0</v>
      </c>
      <c r="B490" s="3">
        <f>1</f>
        <v>1</v>
      </c>
      <c r="C490" s="1">
        <f>0</f>
        <v>0</v>
      </c>
      <c r="D490" s="1">
        <f>0</f>
        <v>0</v>
      </c>
      <c r="E490" s="1" t="s">
        <v>415</v>
      </c>
      <c r="F490" s="1" t="s">
        <v>111</v>
      </c>
      <c r="G490" s="5">
        <f>47.5833</f>
        <v>47.5833</v>
      </c>
      <c r="H490" s="7">
        <f t="shared" si="7"/>
        <v>0.02075580254129717</v>
      </c>
    </row>
    <row r="491" spans="1:8" ht="14.25" customHeight="1">
      <c r="A491" s="3">
        <f>3</f>
        <v>3</v>
      </c>
      <c r="B491" s="3">
        <f>1</f>
        <v>1</v>
      </c>
      <c r="C491" s="1">
        <f>0</f>
        <v>0</v>
      </c>
      <c r="D491" s="1">
        <f>0</f>
        <v>0</v>
      </c>
      <c r="E491" s="1" t="s">
        <v>853</v>
      </c>
      <c r="F491" s="1"/>
      <c r="G491" s="5">
        <f>543.9383</f>
        <v>543.9383</v>
      </c>
      <c r="H491" s="7">
        <f t="shared" si="7"/>
        <v>0.2372655101569009</v>
      </c>
    </row>
    <row r="492" spans="1:8" ht="14.25" customHeight="1">
      <c r="A492" s="3">
        <f>3</f>
        <v>3</v>
      </c>
      <c r="B492" s="3">
        <f>1</f>
        <v>1</v>
      </c>
      <c r="C492" s="1">
        <f>0</f>
        <v>0</v>
      </c>
      <c r="D492" s="1">
        <f>0</f>
        <v>0</v>
      </c>
      <c r="E492" s="1" t="s">
        <v>1500</v>
      </c>
      <c r="F492" s="1"/>
      <c r="G492" s="5">
        <f>16.6389</f>
        <v>16.6389</v>
      </c>
      <c r="H492" s="7">
        <f t="shared" si="7"/>
        <v>0.007257876669007603</v>
      </c>
    </row>
    <row r="493" spans="1:8" ht="14.25" customHeight="1">
      <c r="A493" s="3">
        <f>0</f>
        <v>0</v>
      </c>
      <c r="B493" s="3">
        <f>1</f>
        <v>1</v>
      </c>
      <c r="C493" s="1">
        <f>0</f>
        <v>0</v>
      </c>
      <c r="D493" s="1">
        <f>0</f>
        <v>0</v>
      </c>
      <c r="E493" s="1" t="s">
        <v>501</v>
      </c>
      <c r="F493" s="1" t="s">
        <v>22</v>
      </c>
      <c r="G493" s="5">
        <f>108.2667</f>
        <v>108.2667</v>
      </c>
      <c r="H493" s="7">
        <f t="shared" si="7"/>
        <v>0.04722585963978661</v>
      </c>
    </row>
    <row r="494" spans="1:8" ht="14.25" customHeight="1">
      <c r="A494" s="3">
        <f>0</f>
        <v>0</v>
      </c>
      <c r="B494" s="3">
        <f>1</f>
        <v>1</v>
      </c>
      <c r="C494" s="1">
        <f>0</f>
        <v>0</v>
      </c>
      <c r="D494" s="1">
        <f>0</f>
        <v>0</v>
      </c>
      <c r="E494" s="1" t="s">
        <v>465</v>
      </c>
      <c r="F494" s="1" t="s">
        <v>90</v>
      </c>
      <c r="G494" s="5">
        <f>178.3333</f>
        <v>178.3333</v>
      </c>
      <c r="H494" s="7">
        <f t="shared" si="7"/>
        <v>0.07778886208686474</v>
      </c>
    </row>
    <row r="495" spans="1:8" ht="14.25" customHeight="1">
      <c r="A495" s="3">
        <f>3</f>
        <v>3</v>
      </c>
      <c r="B495" s="3">
        <f>1</f>
        <v>1</v>
      </c>
      <c r="C495" s="1">
        <f>0</f>
        <v>0</v>
      </c>
      <c r="D495" s="1">
        <f>0</f>
        <v>0</v>
      </c>
      <c r="E495" s="1" t="s">
        <v>866</v>
      </c>
      <c r="F495" s="1"/>
      <c r="G495" s="5">
        <f>597.75</f>
        <v>597.75</v>
      </c>
      <c r="H495" s="7">
        <f t="shared" si="7"/>
        <v>0.26073813646931554</v>
      </c>
    </row>
    <row r="496" spans="1:8" ht="14.25" customHeight="1">
      <c r="A496" s="3">
        <f>3</f>
        <v>3</v>
      </c>
      <c r="B496" s="3">
        <f>1</f>
        <v>1</v>
      </c>
      <c r="C496" s="1">
        <f>0</f>
        <v>0</v>
      </c>
      <c r="D496" s="1">
        <f>0</f>
        <v>0</v>
      </c>
      <c r="E496" s="1" t="s">
        <v>780</v>
      </c>
      <c r="F496" s="1"/>
      <c r="G496" s="5">
        <f>146.75</f>
        <v>146.75</v>
      </c>
      <c r="H496" s="7">
        <f t="shared" si="7"/>
        <v>0.06401224847657391</v>
      </c>
    </row>
    <row r="497" spans="1:8" ht="14.25" customHeight="1">
      <c r="A497" s="3">
        <f>3</f>
        <v>3</v>
      </c>
      <c r="B497" s="3">
        <f>1</f>
        <v>1</v>
      </c>
      <c r="C497" s="1">
        <f>0</f>
        <v>0</v>
      </c>
      <c r="D497" s="1">
        <f>0</f>
        <v>0</v>
      </c>
      <c r="E497" s="1" t="s">
        <v>781</v>
      </c>
      <c r="F497" s="1"/>
      <c r="G497" s="5">
        <f>131</f>
        <v>131</v>
      </c>
      <c r="H497" s="7">
        <f t="shared" si="7"/>
        <v>0.05714210937261453</v>
      </c>
    </row>
    <row r="498" spans="1:8" ht="14.25" customHeight="1">
      <c r="A498" s="3">
        <f>3</f>
        <v>3</v>
      </c>
      <c r="B498" s="3">
        <f>1</f>
        <v>1</v>
      </c>
      <c r="C498" s="1">
        <f>0</f>
        <v>0</v>
      </c>
      <c r="D498" s="1">
        <f>0</f>
        <v>0</v>
      </c>
      <c r="E498" s="1" t="s">
        <v>1194</v>
      </c>
      <c r="F498" s="1"/>
      <c r="G498" s="5">
        <f>406.75</f>
        <v>406.75</v>
      </c>
      <c r="H498" s="7">
        <f t="shared" si="7"/>
        <v>0.1774240686054272</v>
      </c>
    </row>
    <row r="499" spans="1:8" ht="14.25" customHeight="1">
      <c r="A499" s="3">
        <f>3</f>
        <v>3</v>
      </c>
      <c r="B499" s="3">
        <f>1</f>
        <v>1</v>
      </c>
      <c r="C499" s="1">
        <f>0</f>
        <v>0</v>
      </c>
      <c r="D499" s="1">
        <f>0</f>
        <v>0</v>
      </c>
      <c r="E499" s="1" t="s">
        <v>1</v>
      </c>
      <c r="F499" s="1"/>
      <c r="G499" s="5">
        <f>189</f>
        <v>189</v>
      </c>
      <c r="H499" s="7">
        <f t="shared" si="7"/>
        <v>0.08244166924751258</v>
      </c>
    </row>
    <row r="500" spans="1:8" ht="14.25" customHeight="1">
      <c r="A500" s="3">
        <f>3</f>
        <v>3</v>
      </c>
      <c r="B500" s="3">
        <f>1</f>
        <v>1</v>
      </c>
      <c r="C500" s="1">
        <f>0</f>
        <v>0</v>
      </c>
      <c r="D500" s="1">
        <f>0</f>
        <v>0</v>
      </c>
      <c r="E500" s="1" t="s">
        <v>995</v>
      </c>
      <c r="F500" s="1"/>
      <c r="G500" s="5">
        <f>43.3333</f>
        <v>43.3333</v>
      </c>
      <c r="H500" s="7">
        <f t="shared" si="7"/>
        <v>0.018901955481498606</v>
      </c>
    </row>
    <row r="501" spans="1:8" ht="14.25" customHeight="1">
      <c r="A501" s="3">
        <f>3</f>
        <v>3</v>
      </c>
      <c r="B501" s="3">
        <f>1</f>
        <v>1</v>
      </c>
      <c r="C501" s="1">
        <f>0</f>
        <v>0</v>
      </c>
      <c r="D501" s="1">
        <f>0</f>
        <v>0</v>
      </c>
      <c r="E501" s="1" t="s">
        <v>1046</v>
      </c>
      <c r="F501" s="1"/>
      <c r="G501" s="5">
        <f>131</f>
        <v>131</v>
      </c>
      <c r="H501" s="7">
        <f t="shared" si="7"/>
        <v>0.05714210937261453</v>
      </c>
    </row>
    <row r="502" spans="1:8" ht="14.25" customHeight="1">
      <c r="A502" s="3">
        <f>3</f>
        <v>3</v>
      </c>
      <c r="B502" s="3">
        <f>1</f>
        <v>1</v>
      </c>
      <c r="C502" s="1">
        <f>0</f>
        <v>0</v>
      </c>
      <c r="D502" s="1">
        <f>0</f>
        <v>0</v>
      </c>
      <c r="E502" s="1" t="s">
        <v>730</v>
      </c>
      <c r="F502" s="1"/>
      <c r="G502" s="5">
        <f>2.625</f>
        <v>2.625</v>
      </c>
      <c r="H502" s="7">
        <f t="shared" si="7"/>
        <v>0.0011450231839932302</v>
      </c>
    </row>
    <row r="503" spans="1:8" ht="14.25" customHeight="1">
      <c r="A503" s="3">
        <f>0</f>
        <v>0</v>
      </c>
      <c r="B503" s="3">
        <f>1</f>
        <v>1</v>
      </c>
      <c r="C503" s="1">
        <f>0</f>
        <v>0</v>
      </c>
      <c r="D503" s="1">
        <f>0</f>
        <v>0</v>
      </c>
      <c r="E503" s="1" t="s">
        <v>466</v>
      </c>
      <c r="F503" s="1" t="s">
        <v>1103</v>
      </c>
      <c r="G503" s="5">
        <f>6.7917</f>
        <v>6.7917</v>
      </c>
      <c r="H503" s="7">
        <f t="shared" si="7"/>
        <v>0.0029625348414197413</v>
      </c>
    </row>
    <row r="504" spans="1:8" ht="14.25" customHeight="1">
      <c r="A504" s="3">
        <f>3</f>
        <v>3</v>
      </c>
      <c r="B504" s="3">
        <f>1</f>
        <v>1</v>
      </c>
      <c r="C504" s="1">
        <f>0</f>
        <v>0</v>
      </c>
      <c r="D504" s="1">
        <f>0</f>
        <v>0</v>
      </c>
      <c r="E504" s="1" t="s">
        <v>731</v>
      </c>
      <c r="F504" s="1"/>
      <c r="G504" s="5">
        <f>766.625</f>
        <v>766.625</v>
      </c>
      <c r="H504" s="7">
        <f t="shared" si="7"/>
        <v>0.3344012946395467</v>
      </c>
    </row>
    <row r="505" spans="1:8" ht="14.25" customHeight="1">
      <c r="A505" s="3">
        <f>3</f>
        <v>3</v>
      </c>
      <c r="B505" s="3">
        <f>1</f>
        <v>1</v>
      </c>
      <c r="C505" s="1">
        <f>0</f>
        <v>0</v>
      </c>
      <c r="D505" s="1">
        <f>0</f>
        <v>0</v>
      </c>
      <c r="E505" s="1" t="s">
        <v>732</v>
      </c>
      <c r="F505" s="1"/>
      <c r="G505" s="5">
        <f>117.8125</f>
        <v>117.8125</v>
      </c>
      <c r="H505" s="7">
        <f t="shared" si="7"/>
        <v>0.05138973099588664</v>
      </c>
    </row>
    <row r="506" spans="1:8" ht="14.25" customHeight="1">
      <c r="A506" s="3">
        <f>0</f>
        <v>0</v>
      </c>
      <c r="B506" s="3">
        <f>1</f>
        <v>1</v>
      </c>
      <c r="C506" s="1">
        <f>0</f>
        <v>0</v>
      </c>
      <c r="D506" s="1">
        <f>0</f>
        <v>0</v>
      </c>
      <c r="E506" s="1" t="s">
        <v>1362</v>
      </c>
      <c r="F506" s="1" t="s">
        <v>1488</v>
      </c>
      <c r="G506" s="5">
        <f>56.9333</f>
        <v>56.9333</v>
      </c>
      <c r="H506" s="7">
        <f t="shared" si="7"/>
        <v>0.024834266072854008</v>
      </c>
    </row>
    <row r="507" spans="1:8" ht="14.25" customHeight="1">
      <c r="A507" s="3">
        <f>3</f>
        <v>3</v>
      </c>
      <c r="B507" s="3">
        <f>1</f>
        <v>1</v>
      </c>
      <c r="C507" s="1">
        <f>0</f>
        <v>0</v>
      </c>
      <c r="D507" s="1">
        <f>0</f>
        <v>0</v>
      </c>
      <c r="E507" s="1" t="s">
        <v>881</v>
      </c>
      <c r="F507" s="1"/>
      <c r="G507" s="5">
        <f>662.4167</f>
        <v>662.4167</v>
      </c>
      <c r="H507" s="7">
        <f t="shared" si="7"/>
        <v>0.28894570627210986</v>
      </c>
    </row>
    <row r="508" spans="1:8" ht="14.25" customHeight="1">
      <c r="A508" s="3">
        <f>3</f>
        <v>3</v>
      </c>
      <c r="B508" s="3">
        <f>1</f>
        <v>1</v>
      </c>
      <c r="C508" s="1">
        <f>0</f>
        <v>0</v>
      </c>
      <c r="D508" s="1">
        <f>0</f>
        <v>0</v>
      </c>
      <c r="E508" s="1" t="s">
        <v>996</v>
      </c>
      <c r="F508" s="1"/>
      <c r="G508" s="5">
        <f>371.0694</f>
        <v>371.0694</v>
      </c>
      <c r="H508" s="7">
        <f t="shared" si="7"/>
        <v>0.1618602155696981</v>
      </c>
    </row>
    <row r="509" spans="1:8" ht="14.25" customHeight="1">
      <c r="A509" s="3">
        <f>3</f>
        <v>3</v>
      </c>
      <c r="B509" s="3">
        <f>1</f>
        <v>1</v>
      </c>
      <c r="C509" s="1">
        <f>0</f>
        <v>0</v>
      </c>
      <c r="D509" s="1">
        <f>0</f>
        <v>0</v>
      </c>
      <c r="E509" s="1" t="s">
        <v>733</v>
      </c>
      <c r="F509" s="1"/>
      <c r="G509" s="5">
        <f>117.8125</f>
        <v>117.8125</v>
      </c>
      <c r="H509" s="7">
        <f t="shared" si="7"/>
        <v>0.05138973099588664</v>
      </c>
    </row>
    <row r="510" spans="1:8" ht="14.25" customHeight="1">
      <c r="A510" s="3">
        <f>3</f>
        <v>3</v>
      </c>
      <c r="B510" s="3">
        <f>1</f>
        <v>1</v>
      </c>
      <c r="C510" s="1">
        <f>0</f>
        <v>0</v>
      </c>
      <c r="D510" s="1">
        <f>0</f>
        <v>0</v>
      </c>
      <c r="E510" s="1" t="s">
        <v>782</v>
      </c>
      <c r="F510" s="1"/>
      <c r="G510" s="5">
        <f>3.875</f>
        <v>3.875</v>
      </c>
      <c r="H510" s="7">
        <f t="shared" si="7"/>
        <v>0.0016902723192281017</v>
      </c>
    </row>
    <row r="511" spans="1:8" ht="14.25" customHeight="1">
      <c r="A511" s="3">
        <f>0</f>
        <v>0</v>
      </c>
      <c r="B511" s="3">
        <f>1</f>
        <v>1</v>
      </c>
      <c r="C511" s="1">
        <f>0</f>
        <v>0</v>
      </c>
      <c r="D511" s="1">
        <f>0</f>
        <v>0</v>
      </c>
      <c r="E511" s="1" t="s">
        <v>1414</v>
      </c>
      <c r="F511" s="1" t="s">
        <v>294</v>
      </c>
      <c r="G511" s="5">
        <f>41</f>
        <v>41</v>
      </c>
      <c r="H511" s="7">
        <f t="shared" si="7"/>
        <v>0.017884171635703786</v>
      </c>
    </row>
    <row r="512" spans="1:8" ht="14.25" customHeight="1">
      <c r="A512" s="3">
        <f>0</f>
        <v>0</v>
      </c>
      <c r="B512" s="3">
        <f>1</f>
        <v>1</v>
      </c>
      <c r="C512" s="1">
        <f>0</f>
        <v>0</v>
      </c>
      <c r="D512" s="1">
        <f>0</f>
        <v>0</v>
      </c>
      <c r="E512" s="1" t="s">
        <v>1514</v>
      </c>
      <c r="F512" s="1" t="s">
        <v>104</v>
      </c>
      <c r="G512" s="5">
        <f>82</f>
        <v>82</v>
      </c>
      <c r="H512" s="7">
        <f t="shared" si="7"/>
        <v>0.03576834327140757</v>
      </c>
    </row>
    <row r="513" spans="1:8" ht="14.25" customHeight="1">
      <c r="A513" s="3">
        <f>0</f>
        <v>0</v>
      </c>
      <c r="B513" s="3">
        <f>1</f>
        <v>1</v>
      </c>
      <c r="C513" s="1">
        <f>0</f>
        <v>0</v>
      </c>
      <c r="D513" s="1">
        <f>0</f>
        <v>0</v>
      </c>
      <c r="E513" s="1" t="s">
        <v>424</v>
      </c>
      <c r="F513" s="1" t="s">
        <v>403</v>
      </c>
      <c r="G513" s="5">
        <f>439.9893</f>
        <v>439.9893</v>
      </c>
      <c r="H513" s="7">
        <f t="shared" si="7"/>
        <v>0.19192302827007718</v>
      </c>
    </row>
    <row r="514" spans="1:8" ht="14.25" customHeight="1">
      <c r="A514" s="3">
        <f>3</f>
        <v>3</v>
      </c>
      <c r="B514" s="3">
        <f>1</f>
        <v>1</v>
      </c>
      <c r="C514" s="1">
        <f>0</f>
        <v>0</v>
      </c>
      <c r="D514" s="1">
        <f>0</f>
        <v>0</v>
      </c>
      <c r="E514" s="1" t="s">
        <v>1460</v>
      </c>
      <c r="F514" s="1"/>
      <c r="G514" s="5">
        <f>40.875</f>
        <v>40.875</v>
      </c>
      <c r="H514" s="7">
        <f aca="true" t="shared" si="8" ref="H514:H577">SUM(100/229253*G$1:G$65536)</f>
        <v>0.0178296467221803</v>
      </c>
    </row>
    <row r="515" spans="1:8" ht="14.25" customHeight="1">
      <c r="A515" s="3">
        <f>3</f>
        <v>3</v>
      </c>
      <c r="B515" s="3">
        <f>1</f>
        <v>1</v>
      </c>
      <c r="C515" s="1">
        <f>0</f>
        <v>0</v>
      </c>
      <c r="D515" s="1">
        <f>0</f>
        <v>0</v>
      </c>
      <c r="E515" s="1" t="s">
        <v>942</v>
      </c>
      <c r="F515" s="1"/>
      <c r="G515" s="5">
        <f>2.625</f>
        <v>2.625</v>
      </c>
      <c r="H515" s="7">
        <f t="shared" si="8"/>
        <v>0.0011450231839932302</v>
      </c>
    </row>
    <row r="516" spans="1:8" ht="14.25" customHeight="1">
      <c r="A516" s="3">
        <f>3</f>
        <v>3</v>
      </c>
      <c r="B516" s="3">
        <f>1</f>
        <v>1</v>
      </c>
      <c r="C516" s="1">
        <f>0</f>
        <v>0</v>
      </c>
      <c r="D516" s="1">
        <f>0</f>
        <v>0</v>
      </c>
      <c r="E516" s="1" t="s">
        <v>359</v>
      </c>
      <c r="F516" s="1"/>
      <c r="G516" s="5">
        <f>5</f>
        <v>5</v>
      </c>
      <c r="H516" s="7">
        <f t="shared" si="8"/>
        <v>0.002180996540939486</v>
      </c>
    </row>
    <row r="517" spans="1:8" ht="14.25" customHeight="1">
      <c r="A517" s="3">
        <f>3</f>
        <v>3</v>
      </c>
      <c r="B517" s="3">
        <f>1</f>
        <v>1</v>
      </c>
      <c r="C517" s="1">
        <f>0</f>
        <v>0</v>
      </c>
      <c r="D517" s="1">
        <f>0</f>
        <v>0</v>
      </c>
      <c r="E517" s="1" t="s">
        <v>997</v>
      </c>
      <c r="F517" s="1"/>
      <c r="G517" s="5">
        <f>23.5625</f>
        <v>23.5625</v>
      </c>
      <c r="H517" s="7">
        <f t="shared" si="8"/>
        <v>0.010277946199177327</v>
      </c>
    </row>
    <row r="518" spans="1:8" ht="14.25" customHeight="1">
      <c r="A518" s="3">
        <f>3</f>
        <v>3</v>
      </c>
      <c r="B518" s="3">
        <f>1</f>
        <v>1</v>
      </c>
      <c r="C518" s="1">
        <f>0</f>
        <v>0</v>
      </c>
      <c r="D518" s="1">
        <f>0</f>
        <v>0</v>
      </c>
      <c r="E518" s="1" t="s">
        <v>998</v>
      </c>
      <c r="F518" s="1"/>
      <c r="G518" s="5">
        <f>2.625</f>
        <v>2.625</v>
      </c>
      <c r="H518" s="7">
        <f t="shared" si="8"/>
        <v>0.0011450231839932302</v>
      </c>
    </row>
    <row r="519" spans="1:8" ht="14.25" customHeight="1">
      <c r="A519" s="3">
        <f>3</f>
        <v>3</v>
      </c>
      <c r="B519" s="3">
        <f>1</f>
        <v>1</v>
      </c>
      <c r="C519" s="1">
        <f>0</f>
        <v>0</v>
      </c>
      <c r="D519" s="1">
        <f>0</f>
        <v>0</v>
      </c>
      <c r="E519" s="1" t="s">
        <v>1086</v>
      </c>
      <c r="F519" s="1"/>
      <c r="G519" s="5">
        <f>216.625</f>
        <v>216.625</v>
      </c>
      <c r="H519" s="7">
        <f t="shared" si="8"/>
        <v>0.09449167513620323</v>
      </c>
    </row>
    <row r="520" spans="1:8" ht="14.25" customHeight="1">
      <c r="A520" s="3">
        <f>3</f>
        <v>3</v>
      </c>
      <c r="B520" s="3">
        <f>1</f>
        <v>1</v>
      </c>
      <c r="C520" s="1">
        <f>0</f>
        <v>0</v>
      </c>
      <c r="D520" s="1">
        <f>0</f>
        <v>0</v>
      </c>
      <c r="E520" s="1" t="s">
        <v>1415</v>
      </c>
      <c r="F520" s="1"/>
      <c r="G520" s="5">
        <f>42.6667</f>
        <v>42.6667</v>
      </c>
      <c r="H520" s="7">
        <f t="shared" si="8"/>
        <v>0.018611185022660553</v>
      </c>
    </row>
    <row r="521" spans="1:8" ht="14.25" customHeight="1">
      <c r="A521" s="3">
        <f>3</f>
        <v>3</v>
      </c>
      <c r="B521" s="3">
        <f>1</f>
        <v>1</v>
      </c>
      <c r="C521" s="1">
        <f>0</f>
        <v>0</v>
      </c>
      <c r="D521" s="1">
        <f>0</f>
        <v>0</v>
      </c>
      <c r="E521" s="1" t="s">
        <v>1087</v>
      </c>
      <c r="F521" s="1"/>
      <c r="G521" s="5">
        <f>9.6875</f>
        <v>9.6875</v>
      </c>
      <c r="H521" s="7">
        <f t="shared" si="8"/>
        <v>0.004225680798070254</v>
      </c>
    </row>
    <row r="522" spans="1:8" ht="14.25" customHeight="1">
      <c r="A522" s="3">
        <f>0</f>
        <v>0</v>
      </c>
      <c r="B522" s="3">
        <f>1</f>
        <v>1</v>
      </c>
      <c r="C522" s="1">
        <f>0</f>
        <v>0</v>
      </c>
      <c r="D522" s="1">
        <f>0</f>
        <v>0</v>
      </c>
      <c r="E522" s="1" t="s">
        <v>334</v>
      </c>
      <c r="F522" s="1" t="s">
        <v>369</v>
      </c>
      <c r="G522" s="5">
        <f>90</f>
        <v>90</v>
      </c>
      <c r="H522" s="7">
        <f t="shared" si="8"/>
        <v>0.03925793773691075</v>
      </c>
    </row>
    <row r="523" spans="1:8" ht="14.25" customHeight="1">
      <c r="A523" s="3">
        <f>3</f>
        <v>3</v>
      </c>
      <c r="B523" s="3">
        <f>1</f>
        <v>1</v>
      </c>
      <c r="C523" s="1">
        <f>0</f>
        <v>0</v>
      </c>
      <c r="D523" s="1">
        <f>0</f>
        <v>0</v>
      </c>
      <c r="E523" s="1" t="s">
        <v>1416</v>
      </c>
      <c r="F523" s="1"/>
      <c r="G523" s="5">
        <f>11.9722</f>
        <v>11.9722</v>
      </c>
      <c r="H523" s="7">
        <f t="shared" si="8"/>
        <v>0.005222265357487143</v>
      </c>
    </row>
    <row r="524" spans="1:8" ht="14.25" customHeight="1">
      <c r="A524" s="3">
        <f>0</f>
        <v>0</v>
      </c>
      <c r="B524" s="3">
        <f>1</f>
        <v>1</v>
      </c>
      <c r="C524" s="1">
        <f>0</f>
        <v>0</v>
      </c>
      <c r="D524" s="1">
        <f>0</f>
        <v>0</v>
      </c>
      <c r="E524" s="1" t="s">
        <v>360</v>
      </c>
      <c r="F524" s="1" t="s">
        <v>405</v>
      </c>
      <c r="G524" s="5">
        <f>283</f>
        <v>283</v>
      </c>
      <c r="H524" s="7">
        <f t="shared" si="8"/>
        <v>0.12344440421717491</v>
      </c>
    </row>
    <row r="525" spans="1:8" ht="14.25" customHeight="1">
      <c r="A525" s="3">
        <f>3</f>
        <v>3</v>
      </c>
      <c r="B525" s="3">
        <f>1</f>
        <v>1</v>
      </c>
      <c r="C525" s="1">
        <f>0</f>
        <v>0</v>
      </c>
      <c r="D525" s="1">
        <f>0</f>
        <v>0</v>
      </c>
      <c r="E525" s="1" t="s">
        <v>695</v>
      </c>
      <c r="F525" s="1"/>
      <c r="G525" s="5">
        <f>21.8333</f>
        <v>21.8333</v>
      </c>
      <c r="H525" s="7">
        <f t="shared" si="8"/>
        <v>0.009523670355458817</v>
      </c>
    </row>
    <row r="526" spans="1:8" ht="14.25" customHeight="1">
      <c r="A526" s="3">
        <f>0</f>
        <v>0</v>
      </c>
      <c r="B526" s="3">
        <f>1</f>
        <v>1</v>
      </c>
      <c r="C526" s="1">
        <f>0</f>
        <v>0</v>
      </c>
      <c r="D526" s="1">
        <f>0</f>
        <v>0</v>
      </c>
      <c r="E526" s="1" t="s">
        <v>1014</v>
      </c>
      <c r="F526" s="1" t="s">
        <v>185</v>
      </c>
      <c r="G526" s="5">
        <f>45</f>
        <v>45</v>
      </c>
      <c r="H526" s="7">
        <f t="shared" si="8"/>
        <v>0.019628968868455374</v>
      </c>
    </row>
    <row r="527" spans="1:8" ht="14.25" customHeight="1">
      <c r="A527" s="3">
        <f>3</f>
        <v>3</v>
      </c>
      <c r="B527" s="3">
        <f>1</f>
        <v>1</v>
      </c>
      <c r="C527" s="1">
        <f>0</f>
        <v>0</v>
      </c>
      <c r="D527" s="1">
        <f>0</f>
        <v>0</v>
      </c>
      <c r="E527" s="1" t="s">
        <v>583</v>
      </c>
      <c r="F527" s="1"/>
      <c r="G527" s="5">
        <f>61.375</f>
        <v>61.375</v>
      </c>
      <c r="H527" s="7">
        <f t="shared" si="8"/>
        <v>0.026771732540032192</v>
      </c>
    </row>
    <row r="528" spans="1:8" ht="14.25" customHeight="1">
      <c r="A528" s="3">
        <f>3</f>
        <v>3</v>
      </c>
      <c r="B528" s="3">
        <f>1</f>
        <v>1</v>
      </c>
      <c r="C528" s="1">
        <f>0</f>
        <v>0</v>
      </c>
      <c r="D528" s="1">
        <f>0</f>
        <v>0</v>
      </c>
      <c r="E528" s="1" t="s">
        <v>1239</v>
      </c>
      <c r="F528" s="1"/>
      <c r="G528" s="5">
        <f>28.6722</f>
        <v>28.6722</v>
      </c>
      <c r="H528" s="7">
        <f t="shared" si="8"/>
        <v>0.012506793804225026</v>
      </c>
    </row>
    <row r="529" spans="1:8" ht="14.25" customHeight="1">
      <c r="A529" s="3">
        <f>3</f>
        <v>3</v>
      </c>
      <c r="B529" s="3">
        <f>1</f>
        <v>1</v>
      </c>
      <c r="C529" s="1">
        <f>0</f>
        <v>0</v>
      </c>
      <c r="D529" s="1">
        <f>0</f>
        <v>0</v>
      </c>
      <c r="E529" s="1" t="s">
        <v>1274</v>
      </c>
      <c r="F529" s="1"/>
      <c r="G529" s="5">
        <f>5.9722</f>
        <v>5.9722</v>
      </c>
      <c r="H529" s="7">
        <f t="shared" si="8"/>
        <v>0.0026050695083597595</v>
      </c>
    </row>
    <row r="530" spans="1:8" ht="14.25" customHeight="1">
      <c r="A530" s="3">
        <f>3</f>
        <v>3</v>
      </c>
      <c r="B530" s="3">
        <f>1</f>
        <v>1</v>
      </c>
      <c r="C530" s="1">
        <f>0</f>
        <v>0</v>
      </c>
      <c r="D530" s="1">
        <f>0</f>
        <v>0</v>
      </c>
      <c r="E530" s="1" t="s">
        <v>675</v>
      </c>
      <c r="F530" s="1"/>
      <c r="G530" s="5">
        <f>64</f>
        <v>64</v>
      </c>
      <c r="H530" s="7">
        <f t="shared" si="8"/>
        <v>0.02791675572402542</v>
      </c>
    </row>
    <row r="531" spans="1:8" ht="14.25" customHeight="1">
      <c r="A531" s="3">
        <f>3</f>
        <v>3</v>
      </c>
      <c r="B531" s="3">
        <f>1</f>
        <v>1</v>
      </c>
      <c r="C531" s="1">
        <f>0</f>
        <v>0</v>
      </c>
      <c r="D531" s="1">
        <f>0</f>
        <v>0</v>
      </c>
      <c r="E531" s="1" t="s">
        <v>794</v>
      </c>
      <c r="F531" s="1"/>
      <c r="G531" s="5">
        <f>2.6667</f>
        <v>2.6667</v>
      </c>
      <c r="H531" s="7">
        <f t="shared" si="8"/>
        <v>0.0011632126951446654</v>
      </c>
    </row>
    <row r="532" spans="1:8" ht="14.25" customHeight="1">
      <c r="A532" s="3">
        <f>3</f>
        <v>3</v>
      </c>
      <c r="B532" s="3">
        <f>1</f>
        <v>1</v>
      </c>
      <c r="C532" s="1">
        <f>0</f>
        <v>0</v>
      </c>
      <c r="D532" s="1">
        <f>0</f>
        <v>0</v>
      </c>
      <c r="E532" s="1" t="s">
        <v>655</v>
      </c>
      <c r="F532" s="1"/>
      <c r="G532" s="5">
        <f>21.8333</f>
        <v>21.8333</v>
      </c>
      <c r="H532" s="7">
        <f t="shared" si="8"/>
        <v>0.009523670355458817</v>
      </c>
    </row>
    <row r="533" spans="1:8" ht="14.25" customHeight="1">
      <c r="A533" s="3">
        <f>3</f>
        <v>3</v>
      </c>
      <c r="B533" s="3">
        <f>1</f>
        <v>1</v>
      </c>
      <c r="C533" s="1">
        <f>0</f>
        <v>0</v>
      </c>
      <c r="D533" s="1">
        <f>0</f>
        <v>0</v>
      </c>
      <c r="E533" s="1" t="s">
        <v>41</v>
      </c>
      <c r="F533" s="1"/>
      <c r="G533" s="5">
        <f>17.9167</f>
        <v>17.9167</v>
      </c>
      <c r="H533" s="7">
        <f t="shared" si="8"/>
        <v>0.007815252145010098</v>
      </c>
    </row>
    <row r="534" spans="1:8" ht="14.25" customHeight="1">
      <c r="A534" s="3">
        <f>3</f>
        <v>3</v>
      </c>
      <c r="B534" s="3">
        <f>1</f>
        <v>1</v>
      </c>
      <c r="C534" s="1">
        <f>0</f>
        <v>0</v>
      </c>
      <c r="D534" s="1">
        <f>0</f>
        <v>0</v>
      </c>
      <c r="E534" s="1" t="s">
        <v>42</v>
      </c>
      <c r="F534" s="1"/>
      <c r="G534" s="5">
        <f>974.1667</f>
        <v>974.1667</v>
      </c>
      <c r="H534" s="7">
        <f t="shared" si="8"/>
        <v>0.4249308405996868</v>
      </c>
    </row>
    <row r="535" spans="1:8" ht="14.25" customHeight="1">
      <c r="A535" s="3">
        <f>3</f>
        <v>3</v>
      </c>
      <c r="B535" s="3">
        <f>1</f>
        <v>1</v>
      </c>
      <c r="C535" s="1">
        <f>0</f>
        <v>0</v>
      </c>
      <c r="D535" s="1">
        <f>0</f>
        <v>0</v>
      </c>
      <c r="E535" s="1" t="s">
        <v>1195</v>
      </c>
      <c r="F535" s="1"/>
      <c r="G535" s="5">
        <f>124.75</f>
        <v>124.75</v>
      </c>
      <c r="H535" s="7">
        <f t="shared" si="8"/>
        <v>0.05441586369644018</v>
      </c>
    </row>
    <row r="536" spans="1:8" ht="14.25" customHeight="1">
      <c r="A536" s="3">
        <f>0</f>
        <v>0</v>
      </c>
      <c r="B536" s="3">
        <f>1</f>
        <v>1</v>
      </c>
      <c r="C536" s="1">
        <f>0</f>
        <v>0</v>
      </c>
      <c r="D536" s="1">
        <f>0</f>
        <v>0</v>
      </c>
      <c r="E536" s="1" t="s">
        <v>1570</v>
      </c>
      <c r="F536" s="1" t="s">
        <v>93</v>
      </c>
      <c r="G536" s="5">
        <f>1265</f>
        <v>1265</v>
      </c>
      <c r="H536" s="7">
        <f t="shared" si="8"/>
        <v>0.5517921248576899</v>
      </c>
    </row>
    <row r="537" spans="1:8" ht="14.25" customHeight="1">
      <c r="A537" s="3">
        <f>3</f>
        <v>3</v>
      </c>
      <c r="B537" s="3">
        <f>1</f>
        <v>1</v>
      </c>
      <c r="C537" s="1">
        <f>0</f>
        <v>0</v>
      </c>
      <c r="D537" s="1">
        <f>0</f>
        <v>0</v>
      </c>
      <c r="E537" s="1" t="s">
        <v>1047</v>
      </c>
      <c r="F537" s="1"/>
      <c r="G537" s="5">
        <f>3.9167</f>
        <v>3.9167</v>
      </c>
      <c r="H537" s="7">
        <f t="shared" si="8"/>
        <v>0.001708461830379537</v>
      </c>
    </row>
    <row r="538" spans="1:8" ht="14.25" customHeight="1">
      <c r="A538" s="3">
        <f>3</f>
        <v>3</v>
      </c>
      <c r="B538" s="3">
        <f>1</f>
        <v>1</v>
      </c>
      <c r="C538" s="1">
        <f>0</f>
        <v>0</v>
      </c>
      <c r="D538" s="1">
        <f>0</f>
        <v>0</v>
      </c>
      <c r="E538" s="1" t="s">
        <v>78</v>
      </c>
      <c r="F538" s="1"/>
      <c r="G538" s="5">
        <f>5.9722</f>
        <v>5.9722</v>
      </c>
      <c r="H538" s="7">
        <f t="shared" si="8"/>
        <v>0.0026050695083597595</v>
      </c>
    </row>
    <row r="539" spans="1:8" ht="14.25" customHeight="1">
      <c r="A539" s="3">
        <f>3</f>
        <v>3</v>
      </c>
      <c r="B539" s="3">
        <f>1</f>
        <v>1</v>
      </c>
      <c r="C539" s="1">
        <f>0</f>
        <v>0</v>
      </c>
      <c r="D539" s="1">
        <f>0</f>
        <v>0</v>
      </c>
      <c r="E539" s="1" t="s">
        <v>2</v>
      </c>
      <c r="F539" s="1"/>
      <c r="G539" s="5">
        <f>37.0833</f>
        <v>37.0833</v>
      </c>
      <c r="H539" s="7">
        <f t="shared" si="8"/>
        <v>0.016175709805324248</v>
      </c>
    </row>
    <row r="540" spans="1:8" ht="14.25" customHeight="1">
      <c r="A540" s="3">
        <f>3</f>
        <v>3</v>
      </c>
      <c r="B540" s="3">
        <f>1</f>
        <v>1</v>
      </c>
      <c r="C540" s="1">
        <f>0</f>
        <v>0</v>
      </c>
      <c r="D540" s="1">
        <f>0</f>
        <v>0</v>
      </c>
      <c r="E540" s="1" t="s">
        <v>1240</v>
      </c>
      <c r="F540" s="1"/>
      <c r="G540" s="5">
        <f>5.9722</f>
        <v>5.9722</v>
      </c>
      <c r="H540" s="7">
        <f t="shared" si="8"/>
        <v>0.0026050695083597595</v>
      </c>
    </row>
    <row r="541" spans="1:8" ht="14.25" customHeight="1">
      <c r="A541" s="3">
        <f>0</f>
        <v>0</v>
      </c>
      <c r="B541" s="3">
        <f>1</f>
        <v>1</v>
      </c>
      <c r="C541" s="1">
        <f>0</f>
        <v>0</v>
      </c>
      <c r="D541" s="1">
        <f>0</f>
        <v>0</v>
      </c>
      <c r="E541" s="1" t="s">
        <v>920</v>
      </c>
      <c r="F541" s="1" t="s">
        <v>1443</v>
      </c>
      <c r="G541" s="5">
        <f>183.05</f>
        <v>183.05</v>
      </c>
      <c r="H541" s="7">
        <f t="shared" si="8"/>
        <v>0.07984628336379458</v>
      </c>
    </row>
    <row r="542" spans="1:8" ht="14.25" customHeight="1">
      <c r="A542" s="3">
        <f>3</f>
        <v>3</v>
      </c>
      <c r="B542" s="3">
        <f>1</f>
        <v>1</v>
      </c>
      <c r="C542" s="1">
        <f>0</f>
        <v>0</v>
      </c>
      <c r="D542" s="1">
        <f>0</f>
        <v>0</v>
      </c>
      <c r="E542" s="1" t="s">
        <v>841</v>
      </c>
      <c r="F542" s="1"/>
      <c r="G542" s="5">
        <f>45</f>
        <v>45</v>
      </c>
      <c r="H542" s="7">
        <f t="shared" si="8"/>
        <v>0.019628968868455374</v>
      </c>
    </row>
    <row r="543" spans="1:8" ht="14.25" customHeight="1">
      <c r="A543" s="3">
        <f>3</f>
        <v>3</v>
      </c>
      <c r="B543" s="3">
        <f>1</f>
        <v>1</v>
      </c>
      <c r="C543" s="1">
        <f>0</f>
        <v>0</v>
      </c>
      <c r="D543" s="1">
        <f>0</f>
        <v>0</v>
      </c>
      <c r="E543" s="1" t="s">
        <v>676</v>
      </c>
      <c r="F543" s="1"/>
      <c r="G543" s="5">
        <f>190.125</f>
        <v>190.125</v>
      </c>
      <c r="H543" s="7">
        <f t="shared" si="8"/>
        <v>0.08293239346922396</v>
      </c>
    </row>
    <row r="544" spans="1:8" ht="14.25" customHeight="1">
      <c r="A544" s="3">
        <f>3</f>
        <v>3</v>
      </c>
      <c r="B544" s="3">
        <f>1</f>
        <v>1</v>
      </c>
      <c r="C544" s="1">
        <f>0</f>
        <v>0</v>
      </c>
      <c r="D544" s="1">
        <f>0</f>
        <v>0</v>
      </c>
      <c r="E544" s="1" t="s">
        <v>1275</v>
      </c>
      <c r="F544" s="1"/>
      <c r="G544" s="5">
        <f>22.7</f>
        <v>22.7</v>
      </c>
      <c r="H544" s="7">
        <f t="shared" si="8"/>
        <v>0.009901724295865267</v>
      </c>
    </row>
    <row r="545" spans="1:8" ht="14.25" customHeight="1">
      <c r="A545" s="3">
        <f>3</f>
        <v>3</v>
      </c>
      <c r="B545" s="3">
        <f>1</f>
        <v>1</v>
      </c>
      <c r="C545" s="1">
        <f>0</f>
        <v>0</v>
      </c>
      <c r="D545" s="1">
        <f>0</f>
        <v>0</v>
      </c>
      <c r="E545" s="1" t="s">
        <v>1293</v>
      </c>
      <c r="F545" s="1"/>
      <c r="G545" s="5">
        <f>225.1458</f>
        <v>225.1458</v>
      </c>
      <c r="H545" s="7">
        <f t="shared" si="8"/>
        <v>0.09820844220141067</v>
      </c>
    </row>
    <row r="546" spans="1:8" ht="14.25" customHeight="1">
      <c r="A546" s="3">
        <f>3</f>
        <v>3</v>
      </c>
      <c r="B546" s="3">
        <f>1</f>
        <v>1</v>
      </c>
      <c r="C546" s="1">
        <f>0</f>
        <v>0</v>
      </c>
      <c r="D546" s="1">
        <f>0</f>
        <v>0</v>
      </c>
      <c r="E546" s="1" t="s">
        <v>634</v>
      </c>
      <c r="F546" s="1"/>
      <c r="G546" s="5">
        <f>5.6042</f>
        <v>5.6042</v>
      </c>
      <c r="H546" s="7">
        <f t="shared" si="8"/>
        <v>0.002444548162946613</v>
      </c>
    </row>
    <row r="547" spans="1:8" ht="14.25" customHeight="1">
      <c r="A547" s="3">
        <f>3</f>
        <v>3</v>
      </c>
      <c r="B547" s="3">
        <f>1</f>
        <v>1</v>
      </c>
      <c r="C547" s="1">
        <f>0</f>
        <v>0</v>
      </c>
      <c r="D547" s="1">
        <f>0</f>
        <v>0</v>
      </c>
      <c r="E547" s="1" t="s">
        <v>842</v>
      </c>
      <c r="F547" s="1"/>
      <c r="G547" s="5">
        <f>0.7813</f>
        <v>0.7813</v>
      </c>
      <c r="H547" s="7">
        <f t="shared" si="8"/>
        <v>0.0003408025194872041</v>
      </c>
    </row>
    <row r="548" spans="1:8" ht="14.25" customHeight="1">
      <c r="A548" s="3">
        <f>0</f>
        <v>0</v>
      </c>
      <c r="B548" s="3">
        <f>1</f>
        <v>1</v>
      </c>
      <c r="C548" s="1">
        <f>0</f>
        <v>0</v>
      </c>
      <c r="D548" s="1">
        <f>0</f>
        <v>0</v>
      </c>
      <c r="E548" s="1" t="s">
        <v>1212</v>
      </c>
      <c r="F548" s="1" t="s">
        <v>1113</v>
      </c>
      <c r="G548" s="5">
        <f>396.7188</f>
        <v>396.7188</v>
      </c>
      <c r="H548" s="7">
        <f t="shared" si="8"/>
        <v>0.17304846610513275</v>
      </c>
    </row>
    <row r="549" spans="1:8" ht="14.25" customHeight="1">
      <c r="A549" s="3">
        <f>3</f>
        <v>3</v>
      </c>
      <c r="B549" s="3">
        <f>1</f>
        <v>1</v>
      </c>
      <c r="C549" s="1">
        <f>0</f>
        <v>0</v>
      </c>
      <c r="D549" s="1">
        <f>0</f>
        <v>0</v>
      </c>
      <c r="E549" s="1" t="s">
        <v>696</v>
      </c>
      <c r="F549" s="1"/>
      <c r="G549" s="5">
        <f>3.9167</f>
        <v>3.9167</v>
      </c>
      <c r="H549" s="7">
        <f t="shared" si="8"/>
        <v>0.001708461830379537</v>
      </c>
    </row>
    <row r="550" spans="1:8" ht="14.25" customHeight="1">
      <c r="A550" s="3">
        <f>3</f>
        <v>3</v>
      </c>
      <c r="B550" s="3">
        <f>1</f>
        <v>1</v>
      </c>
      <c r="C550" s="1">
        <f>0</f>
        <v>0</v>
      </c>
      <c r="D550" s="1">
        <f>0</f>
        <v>0</v>
      </c>
      <c r="E550" s="1" t="s">
        <v>635</v>
      </c>
      <c r="F550" s="1"/>
      <c r="G550" s="5">
        <f>0.625</f>
        <v>0.625</v>
      </c>
      <c r="H550" s="7">
        <f t="shared" si="8"/>
        <v>0.00027262456761743576</v>
      </c>
    </row>
    <row r="551" spans="1:8" ht="14.25" customHeight="1">
      <c r="A551" s="3">
        <f>3</f>
        <v>3</v>
      </c>
      <c r="B551" s="3">
        <f>1</f>
        <v>1</v>
      </c>
      <c r="C551" s="1">
        <f>0</f>
        <v>0</v>
      </c>
      <c r="D551" s="1">
        <f>0</f>
        <v>0</v>
      </c>
      <c r="E551" s="1" t="s">
        <v>921</v>
      </c>
      <c r="F551" s="1"/>
      <c r="G551" s="5">
        <f>24.5</f>
        <v>24.5</v>
      </c>
      <c r="H551" s="7">
        <f t="shared" si="8"/>
        <v>0.010686883050603481</v>
      </c>
    </row>
    <row r="552" spans="1:8" ht="14.25" customHeight="1">
      <c r="A552" s="3">
        <f>3</f>
        <v>3</v>
      </c>
      <c r="B552" s="3">
        <f>1</f>
        <v>1</v>
      </c>
      <c r="C552" s="1">
        <f>0</f>
        <v>0</v>
      </c>
      <c r="D552" s="1">
        <f>0</f>
        <v>0</v>
      </c>
      <c r="E552" s="1" t="s">
        <v>1301</v>
      </c>
      <c r="F552" s="1"/>
      <c r="G552" s="5">
        <f>93.5417</f>
        <v>93.5417</v>
      </c>
      <c r="H552" s="7">
        <f t="shared" si="8"/>
        <v>0.040802824826719826</v>
      </c>
    </row>
    <row r="553" spans="1:8" ht="14.25" customHeight="1">
      <c r="A553" s="3">
        <f>3</f>
        <v>3</v>
      </c>
      <c r="B553" s="3">
        <f>1</f>
        <v>1</v>
      </c>
      <c r="C553" s="1">
        <f>0</f>
        <v>0</v>
      </c>
      <c r="D553" s="1">
        <f>0</f>
        <v>0</v>
      </c>
      <c r="E553" s="1" t="s">
        <v>1344</v>
      </c>
      <c r="F553" s="1"/>
      <c r="G553" s="5">
        <f>161.6071</f>
        <v>161.6071</v>
      </c>
      <c r="H553" s="7">
        <f t="shared" si="8"/>
        <v>0.07049290521825233</v>
      </c>
    </row>
    <row r="554" spans="1:8" ht="14.25" customHeight="1">
      <c r="A554" s="3">
        <f>3</f>
        <v>3</v>
      </c>
      <c r="B554" s="3">
        <f>1</f>
        <v>1</v>
      </c>
      <c r="C554" s="1">
        <f>0</f>
        <v>0</v>
      </c>
      <c r="D554" s="1">
        <f>0</f>
        <v>0</v>
      </c>
      <c r="E554" s="1" t="s">
        <v>981</v>
      </c>
      <c r="F554" s="1"/>
      <c r="G554" s="5">
        <f>65.5</f>
        <v>65.5</v>
      </c>
      <c r="H554" s="7">
        <f t="shared" si="8"/>
        <v>0.028571054686307266</v>
      </c>
    </row>
    <row r="555" spans="1:8" ht="14.25" customHeight="1">
      <c r="A555" s="3">
        <f>3</f>
        <v>3</v>
      </c>
      <c r="B555" s="3">
        <f>1</f>
        <v>1</v>
      </c>
      <c r="C555" s="1">
        <f>0</f>
        <v>0</v>
      </c>
      <c r="D555" s="1">
        <f>0</f>
        <v>0</v>
      </c>
      <c r="E555" s="1" t="s">
        <v>301</v>
      </c>
      <c r="F555" s="1"/>
      <c r="G555" s="5">
        <f>331.3333</f>
        <v>331.3333</v>
      </c>
      <c r="H555" s="7">
        <f t="shared" si="8"/>
        <v>0.144527356239613</v>
      </c>
    </row>
    <row r="556" spans="1:8" ht="14.25" customHeight="1">
      <c r="A556" s="3">
        <f>3</f>
        <v>3</v>
      </c>
      <c r="B556" s="3">
        <f>1</f>
        <v>1</v>
      </c>
      <c r="C556" s="1">
        <f>0</f>
        <v>0</v>
      </c>
      <c r="D556" s="1">
        <f>0</f>
        <v>0</v>
      </c>
      <c r="E556" s="1" t="s">
        <v>479</v>
      </c>
      <c r="F556" s="1"/>
      <c r="G556" s="5">
        <f>177</f>
        <v>177</v>
      </c>
      <c r="H556" s="7">
        <f t="shared" si="8"/>
        <v>0.07720727754925781</v>
      </c>
    </row>
    <row r="557" spans="1:8" ht="14.25" customHeight="1">
      <c r="A557" s="3">
        <f>3</f>
        <v>3</v>
      </c>
      <c r="B557" s="3">
        <f>1</f>
        <v>1</v>
      </c>
      <c r="C557" s="1">
        <f>0</f>
        <v>0</v>
      </c>
      <c r="D557" s="1">
        <f>0</f>
        <v>0</v>
      </c>
      <c r="E557" s="1" t="s">
        <v>747</v>
      </c>
      <c r="F557" s="1"/>
      <c r="G557" s="5">
        <f>2.9375</f>
        <v>2.9375</v>
      </c>
      <c r="H557" s="7">
        <f t="shared" si="8"/>
        <v>0.001281335467801948</v>
      </c>
    </row>
    <row r="558" spans="1:8" ht="14.25" customHeight="1">
      <c r="A558" s="3">
        <f>0</f>
        <v>0</v>
      </c>
      <c r="B558" s="3">
        <f>1</f>
        <v>1</v>
      </c>
      <c r="C558" s="1">
        <f>0</f>
        <v>0</v>
      </c>
      <c r="D558" s="1">
        <f>0</f>
        <v>0</v>
      </c>
      <c r="E558" s="1" t="s">
        <v>425</v>
      </c>
      <c r="F558" s="1" t="s">
        <v>268</v>
      </c>
      <c r="G558" s="5">
        <f>18.5714</f>
        <v>18.5714</v>
      </c>
      <c r="H558" s="7">
        <f t="shared" si="8"/>
        <v>0.008100831832080714</v>
      </c>
    </row>
    <row r="559" spans="1:8" ht="14.25" customHeight="1">
      <c r="A559" s="3">
        <f>0</f>
        <v>0</v>
      </c>
      <c r="B559" s="3">
        <f>1</f>
        <v>1</v>
      </c>
      <c r="C559" s="1">
        <f>0</f>
        <v>0</v>
      </c>
      <c r="D559" s="1">
        <f>0</f>
        <v>0</v>
      </c>
      <c r="E559" s="1" t="s">
        <v>361</v>
      </c>
      <c r="F559" s="1" t="s">
        <v>33</v>
      </c>
      <c r="G559" s="5">
        <f>506.9694</f>
        <v>506.9694</v>
      </c>
      <c r="H559" s="7">
        <f t="shared" si="8"/>
        <v>0.22113970155243334</v>
      </c>
    </row>
    <row r="560" spans="1:8" ht="14.25" customHeight="1">
      <c r="A560" s="3">
        <f>3</f>
        <v>3</v>
      </c>
      <c r="B560" s="3">
        <f>1</f>
        <v>1</v>
      </c>
      <c r="C560" s="1">
        <f>0</f>
        <v>0</v>
      </c>
      <c r="D560" s="1">
        <f>0</f>
        <v>0</v>
      </c>
      <c r="E560" s="1" t="s">
        <v>198</v>
      </c>
      <c r="F560" s="1"/>
      <c r="G560" s="5">
        <f>200.0833</f>
        <v>200.0833</v>
      </c>
      <c r="H560" s="7">
        <f t="shared" si="8"/>
        <v>0.0872761970399515</v>
      </c>
    </row>
    <row r="561" spans="1:8" ht="14.25" customHeight="1">
      <c r="A561" s="3">
        <f>3</f>
        <v>3</v>
      </c>
      <c r="B561" s="3">
        <f>1</f>
        <v>1</v>
      </c>
      <c r="C561" s="1">
        <f>0</f>
        <v>0</v>
      </c>
      <c r="D561" s="1">
        <f>0</f>
        <v>0</v>
      </c>
      <c r="E561" s="1" t="s">
        <v>1133</v>
      </c>
      <c r="F561" s="1"/>
      <c r="G561" s="5">
        <f>38.1875</f>
        <v>38.1875</v>
      </c>
      <c r="H561" s="7">
        <f t="shared" si="8"/>
        <v>0.016657361081425324</v>
      </c>
    </row>
    <row r="562" spans="1:8" ht="14.25" customHeight="1">
      <c r="A562" s="3">
        <f>3</f>
        <v>3</v>
      </c>
      <c r="B562" s="3">
        <f>1</f>
        <v>1</v>
      </c>
      <c r="C562" s="1">
        <f>0</f>
        <v>0</v>
      </c>
      <c r="D562" s="1">
        <f>0</f>
        <v>0</v>
      </c>
      <c r="E562" s="1" t="s">
        <v>43</v>
      </c>
      <c r="F562" s="1"/>
      <c r="G562" s="5">
        <f>5.9722</f>
        <v>5.9722</v>
      </c>
      <c r="H562" s="7">
        <f t="shared" si="8"/>
        <v>0.0026050695083597595</v>
      </c>
    </row>
    <row r="563" spans="1:8" ht="14.25" customHeight="1">
      <c r="A563" s="3">
        <f>3</f>
        <v>3</v>
      </c>
      <c r="B563" s="3">
        <f>1</f>
        <v>1</v>
      </c>
      <c r="C563" s="1">
        <f>0</f>
        <v>0</v>
      </c>
      <c r="D563" s="1">
        <f>0</f>
        <v>0</v>
      </c>
      <c r="E563" s="1" t="s">
        <v>1461</v>
      </c>
      <c r="F563" s="1"/>
      <c r="G563" s="5">
        <f>164</f>
        <v>164</v>
      </c>
      <c r="H563" s="7">
        <f t="shared" si="8"/>
        <v>0.07153668654281514</v>
      </c>
    </row>
    <row r="564" spans="1:8" ht="14.25" customHeight="1">
      <c r="A564" s="3">
        <f>3</f>
        <v>3</v>
      </c>
      <c r="B564" s="3">
        <f>1</f>
        <v>1</v>
      </c>
      <c r="C564" s="1">
        <f>0</f>
        <v>0</v>
      </c>
      <c r="D564" s="1">
        <f>0</f>
        <v>0</v>
      </c>
      <c r="E564" s="1" t="s">
        <v>1197</v>
      </c>
      <c r="F564" s="1"/>
      <c r="G564" s="5">
        <f>229.3333</f>
        <v>229.3333</v>
      </c>
      <c r="H564" s="7">
        <f t="shared" si="8"/>
        <v>0.1000350268044475</v>
      </c>
    </row>
    <row r="565" spans="1:8" ht="14.25" customHeight="1">
      <c r="A565" s="3">
        <f>3</f>
        <v>3</v>
      </c>
      <c r="B565" s="3">
        <f>1</f>
        <v>1</v>
      </c>
      <c r="C565" s="1">
        <f>0</f>
        <v>0</v>
      </c>
      <c r="D565" s="1">
        <f>0</f>
        <v>0</v>
      </c>
      <c r="E565" s="1" t="s">
        <v>734</v>
      </c>
      <c r="F565" s="1"/>
      <c r="G565" s="5">
        <f>2.4722</f>
        <v>2.4722</v>
      </c>
      <c r="H565" s="7">
        <f t="shared" si="8"/>
        <v>0.0010783719297021194</v>
      </c>
    </row>
    <row r="566" spans="1:8" ht="14.25" customHeight="1">
      <c r="A566" s="3">
        <f>0</f>
        <v>0</v>
      </c>
      <c r="B566" s="3">
        <f>1</f>
        <v>1</v>
      </c>
      <c r="C566" s="1">
        <f>0</f>
        <v>0</v>
      </c>
      <c r="D566" s="1">
        <f>0</f>
        <v>0</v>
      </c>
      <c r="E566" s="1" t="s">
        <v>1417</v>
      </c>
      <c r="F566" s="1" t="s">
        <v>1347</v>
      </c>
      <c r="G566" s="5">
        <f>651.2454</f>
        <v>651.2454</v>
      </c>
      <c r="H566" s="7">
        <f t="shared" si="8"/>
        <v>0.2840727929405504</v>
      </c>
    </row>
    <row r="567" spans="1:8" ht="14.25" customHeight="1">
      <c r="A567" s="3">
        <f>0</f>
        <v>0</v>
      </c>
      <c r="B567" s="3">
        <f>1</f>
        <v>1</v>
      </c>
      <c r="C567" s="1">
        <f>0</f>
        <v>0</v>
      </c>
      <c r="D567" s="1">
        <f>0</f>
        <v>0</v>
      </c>
      <c r="E567" s="1" t="s">
        <v>3</v>
      </c>
      <c r="F567" s="1" t="s">
        <v>1342</v>
      </c>
      <c r="G567" s="5">
        <f>211.3333</f>
        <v>211.3333</v>
      </c>
      <c r="H567" s="7">
        <f t="shared" si="8"/>
        <v>0.09218343925706533</v>
      </c>
    </row>
    <row r="568" spans="1:8" ht="14.25" customHeight="1">
      <c r="A568" s="3">
        <f>3</f>
        <v>3</v>
      </c>
      <c r="B568" s="3">
        <f>1</f>
        <v>1</v>
      </c>
      <c r="C568" s="1">
        <f>0</f>
        <v>0</v>
      </c>
      <c r="D568" s="1">
        <f>0</f>
        <v>0</v>
      </c>
      <c r="E568" s="1" t="s">
        <v>1515</v>
      </c>
      <c r="F568" s="1"/>
      <c r="G568" s="5">
        <f>1.1667</f>
        <v>1.1667</v>
      </c>
      <c r="H568" s="7">
        <f t="shared" si="8"/>
        <v>0.0005089137328628197</v>
      </c>
    </row>
    <row r="569" spans="1:8" ht="14.25" customHeight="1">
      <c r="A569" s="3">
        <f>3</f>
        <v>3</v>
      </c>
      <c r="B569" s="3">
        <f>1</f>
        <v>1</v>
      </c>
      <c r="C569" s="1">
        <f>0</f>
        <v>0</v>
      </c>
      <c r="D569" s="1">
        <f>0</f>
        <v>0</v>
      </c>
      <c r="E569" s="1" t="s">
        <v>735</v>
      </c>
      <c r="F569" s="1"/>
      <c r="G569" s="5">
        <f>106.4583</f>
        <v>106.4583</v>
      </c>
      <c r="H569" s="7">
        <f t="shared" si="8"/>
        <v>0.04643703681085962</v>
      </c>
    </row>
    <row r="570" spans="1:8" ht="14.25" customHeight="1">
      <c r="A570" s="3">
        <f>0</f>
        <v>0</v>
      </c>
      <c r="B570" s="3">
        <f>1</f>
        <v>1</v>
      </c>
      <c r="C570" s="1">
        <f>0</f>
        <v>0</v>
      </c>
      <c r="D570" s="1">
        <f>0</f>
        <v>0</v>
      </c>
      <c r="E570" s="1" t="s">
        <v>1363</v>
      </c>
      <c r="F570" s="1" t="s">
        <v>890</v>
      </c>
      <c r="G570" s="5">
        <f>6.9955</f>
        <v>6.9955</v>
      </c>
      <c r="H570" s="7">
        <f t="shared" si="8"/>
        <v>0.0030514322604284346</v>
      </c>
    </row>
    <row r="571" spans="1:8" ht="14.25" customHeight="1">
      <c r="A571" s="3">
        <f>0</f>
        <v>0</v>
      </c>
      <c r="B571" s="3">
        <f>1</f>
        <v>1</v>
      </c>
      <c r="C571" s="1">
        <f>0</f>
        <v>0</v>
      </c>
      <c r="D571" s="1">
        <f>0</f>
        <v>0</v>
      </c>
      <c r="E571" s="1" t="s">
        <v>1418</v>
      </c>
      <c r="F571" s="1" t="s">
        <v>108</v>
      </c>
      <c r="G571" s="5">
        <f>9.8588</f>
        <v>9.8588</v>
      </c>
      <c r="H571" s="7">
        <f t="shared" si="8"/>
        <v>0.004300401739562841</v>
      </c>
    </row>
    <row r="572" spans="1:8" ht="14.25" customHeight="1">
      <c r="A572" s="3">
        <f>3</f>
        <v>3</v>
      </c>
      <c r="B572" s="3">
        <f>1</f>
        <v>1</v>
      </c>
      <c r="C572" s="1">
        <f>0</f>
        <v>0</v>
      </c>
      <c r="D572" s="1">
        <f>0</f>
        <v>0</v>
      </c>
      <c r="E572" s="1" t="s">
        <v>783</v>
      </c>
      <c r="F572" s="1"/>
      <c r="G572" s="5">
        <f>147.3333</f>
        <v>147.3333</v>
      </c>
      <c r="H572" s="7">
        <f t="shared" si="8"/>
        <v>0.06426668353303992</v>
      </c>
    </row>
    <row r="573" spans="1:8" ht="14.25" customHeight="1">
      <c r="A573" s="3">
        <f>3</f>
        <v>3</v>
      </c>
      <c r="B573" s="3">
        <f>1</f>
        <v>1</v>
      </c>
      <c r="C573" s="1">
        <f>0</f>
        <v>0</v>
      </c>
      <c r="D573" s="1">
        <f>0</f>
        <v>0</v>
      </c>
      <c r="E573" s="1" t="s">
        <v>1159</v>
      </c>
      <c r="F573" s="1"/>
      <c r="G573" s="5">
        <f>31.3194</f>
        <v>31.3194</v>
      </c>
      <c r="H573" s="7">
        <f t="shared" si="8"/>
        <v>0.013661500612860028</v>
      </c>
    </row>
    <row r="574" spans="1:8" ht="14.25" customHeight="1">
      <c r="A574" s="3">
        <f>3</f>
        <v>3</v>
      </c>
      <c r="B574" s="3">
        <f>1</f>
        <v>1</v>
      </c>
      <c r="C574" s="1">
        <f>0</f>
        <v>0</v>
      </c>
      <c r="D574" s="1">
        <f>0</f>
        <v>0</v>
      </c>
      <c r="E574" s="1" t="s">
        <v>822</v>
      </c>
      <c r="F574" s="1"/>
      <c r="G574" s="5">
        <f>105.3333</f>
        <v>105.3333</v>
      </c>
      <c r="H574" s="7">
        <f t="shared" si="8"/>
        <v>0.045946312589148226</v>
      </c>
    </row>
    <row r="575" spans="1:8" ht="14.25" customHeight="1">
      <c r="A575" s="3">
        <f>3</f>
        <v>3</v>
      </c>
      <c r="B575" s="3">
        <f>1</f>
        <v>1</v>
      </c>
      <c r="C575" s="1">
        <f>0</f>
        <v>0</v>
      </c>
      <c r="D575" s="1">
        <f>0</f>
        <v>0</v>
      </c>
      <c r="E575" s="1" t="s">
        <v>1419</v>
      </c>
      <c r="F575" s="1"/>
      <c r="G575" s="5">
        <f>483.8472</f>
        <v>483.8472</v>
      </c>
      <c r="H575" s="7">
        <f t="shared" si="8"/>
        <v>0.21105381390865113</v>
      </c>
    </row>
    <row r="576" spans="1:8" ht="14.25" customHeight="1">
      <c r="A576" s="3">
        <f>3</f>
        <v>3</v>
      </c>
      <c r="B576" s="3">
        <f>1</f>
        <v>1</v>
      </c>
      <c r="C576" s="1">
        <f>0</f>
        <v>0</v>
      </c>
      <c r="D576" s="1">
        <f>0</f>
        <v>0</v>
      </c>
      <c r="E576" s="1" t="s">
        <v>149</v>
      </c>
      <c r="F576" s="1"/>
      <c r="G576" s="5">
        <f>58.7778</f>
        <v>58.7778</v>
      </c>
      <c r="H576" s="7">
        <f t="shared" si="8"/>
        <v>0.025638835696806583</v>
      </c>
    </row>
    <row r="577" spans="1:8" ht="14.25" customHeight="1">
      <c r="A577" s="3">
        <f>3</f>
        <v>3</v>
      </c>
      <c r="B577" s="3">
        <f>1</f>
        <v>1</v>
      </c>
      <c r="C577" s="1">
        <f>0</f>
        <v>0</v>
      </c>
      <c r="D577" s="1">
        <f>0</f>
        <v>0</v>
      </c>
      <c r="E577" s="1" t="s">
        <v>1241</v>
      </c>
      <c r="F577" s="1"/>
      <c r="G577" s="5">
        <f>284</f>
        <v>284</v>
      </c>
      <c r="H577" s="7">
        <f t="shared" si="8"/>
        <v>0.1238806035253628</v>
      </c>
    </row>
    <row r="578" spans="1:8" ht="14.25" customHeight="1">
      <c r="A578" s="3">
        <f>3</f>
        <v>3</v>
      </c>
      <c r="B578" s="3">
        <f>1</f>
        <v>1</v>
      </c>
      <c r="C578" s="1">
        <f>0</f>
        <v>0</v>
      </c>
      <c r="D578" s="1">
        <f>0</f>
        <v>0</v>
      </c>
      <c r="E578" s="1" t="s">
        <v>426</v>
      </c>
      <c r="F578" s="1"/>
      <c r="G578" s="5">
        <f>167.1667</f>
        <v>167.1667</v>
      </c>
      <c r="H578" s="7">
        <f aca="true" t="shared" si="9" ref="H578:H641">SUM(100/229253*G$1:G$65536)</f>
        <v>0.07291799889205375</v>
      </c>
    </row>
    <row r="579" spans="1:8" ht="14.25" customHeight="1">
      <c r="A579" s="3">
        <f>3</f>
        <v>3</v>
      </c>
      <c r="B579" s="3">
        <f>1</f>
        <v>1</v>
      </c>
      <c r="C579" s="1">
        <f>0</f>
        <v>0</v>
      </c>
      <c r="D579" s="1">
        <f>0</f>
        <v>0</v>
      </c>
      <c r="E579" s="1" t="s">
        <v>125</v>
      </c>
      <c r="F579" s="1"/>
      <c r="G579" s="5">
        <f>245.25</f>
        <v>245.25</v>
      </c>
      <c r="H579" s="7">
        <f t="shared" si="9"/>
        <v>0.10697788033308178</v>
      </c>
    </row>
    <row r="580" spans="1:8" ht="14.25" customHeight="1">
      <c r="A580" s="3">
        <f>0</f>
        <v>0</v>
      </c>
      <c r="B580" s="3">
        <f>1</f>
        <v>1</v>
      </c>
      <c r="C580" s="1">
        <f>0</f>
        <v>0</v>
      </c>
      <c r="D580" s="1">
        <f>0</f>
        <v>0</v>
      </c>
      <c r="E580" s="1" t="s">
        <v>427</v>
      </c>
      <c r="F580" s="1" t="s">
        <v>290</v>
      </c>
      <c r="G580" s="5">
        <f>19.7176</f>
        <v>19.7176</v>
      </c>
      <c r="H580" s="7">
        <f t="shared" si="9"/>
        <v>0.008600803479125682</v>
      </c>
    </row>
    <row r="581" spans="1:8" ht="14.25" customHeight="1">
      <c r="A581" s="3">
        <f>3</f>
        <v>3</v>
      </c>
      <c r="B581" s="3">
        <f>1</f>
        <v>1</v>
      </c>
      <c r="C581" s="1">
        <f>0</f>
        <v>0</v>
      </c>
      <c r="D581" s="1">
        <f>0</f>
        <v>0</v>
      </c>
      <c r="E581" s="1" t="s">
        <v>4</v>
      </c>
      <c r="F581" s="1"/>
      <c r="G581" s="5">
        <f>2.533</f>
        <v>2.533</v>
      </c>
      <c r="H581" s="7">
        <f t="shared" si="9"/>
        <v>0.0011048928476399436</v>
      </c>
    </row>
    <row r="582" spans="1:8" ht="14.25" customHeight="1">
      <c r="A582" s="3">
        <f>0</f>
        <v>0</v>
      </c>
      <c r="B582" s="3">
        <f>1</f>
        <v>1</v>
      </c>
      <c r="C582" s="1">
        <f>0</f>
        <v>0</v>
      </c>
      <c r="D582" s="1">
        <f>0</f>
        <v>0</v>
      </c>
      <c r="E582" s="1" t="s">
        <v>150</v>
      </c>
      <c r="F582" s="1" t="s">
        <v>103</v>
      </c>
      <c r="G582" s="5">
        <f>211.3333</f>
        <v>211.3333</v>
      </c>
      <c r="H582" s="7">
        <f t="shared" si="9"/>
        <v>0.09218343925706533</v>
      </c>
    </row>
    <row r="583" spans="1:8" ht="14.25" customHeight="1">
      <c r="A583" s="3">
        <f>3</f>
        <v>3</v>
      </c>
      <c r="B583" s="3">
        <f>1</f>
        <v>1</v>
      </c>
      <c r="C583" s="1">
        <f>0</f>
        <v>0</v>
      </c>
      <c r="D583" s="1">
        <f>0</f>
        <v>0</v>
      </c>
      <c r="E583" s="1" t="s">
        <v>1550</v>
      </c>
      <c r="F583" s="1"/>
      <c r="G583" s="5">
        <f>115.4167</f>
        <v>115.4167</v>
      </c>
      <c r="H583" s="7">
        <f t="shared" si="9"/>
        <v>0.050344684693330075</v>
      </c>
    </row>
    <row r="584" spans="1:8" ht="14.25" customHeight="1">
      <c r="A584" s="3">
        <f>3</f>
        <v>3</v>
      </c>
      <c r="B584" s="3">
        <f>1</f>
        <v>1</v>
      </c>
      <c r="C584" s="1">
        <f>0</f>
        <v>0</v>
      </c>
      <c r="D584" s="1">
        <f>0</f>
        <v>0</v>
      </c>
      <c r="E584" s="1" t="s">
        <v>1334</v>
      </c>
      <c r="F584" s="1"/>
      <c r="G584" s="5">
        <f>14.8333</f>
        <v>14.8333</v>
      </c>
      <c r="H584" s="7">
        <f t="shared" si="9"/>
        <v>0.006470275198143536</v>
      </c>
    </row>
    <row r="585" spans="1:8" ht="14.25" customHeight="1">
      <c r="A585" s="3">
        <f>0</f>
        <v>0</v>
      </c>
      <c r="B585" s="3">
        <f>1</f>
        <v>1</v>
      </c>
      <c r="C585" s="1">
        <f>0</f>
        <v>0</v>
      </c>
      <c r="D585" s="1">
        <f>0</f>
        <v>0</v>
      </c>
      <c r="E585" s="1" t="s">
        <v>222</v>
      </c>
      <c r="F585" s="1" t="s">
        <v>1205</v>
      </c>
      <c r="G585" s="5">
        <f>211.3333</f>
        <v>211.3333</v>
      </c>
      <c r="H585" s="7">
        <f t="shared" si="9"/>
        <v>0.09218343925706533</v>
      </c>
    </row>
    <row r="586" spans="1:8" ht="14.25" customHeight="1">
      <c r="A586" s="3">
        <f>3</f>
        <v>3</v>
      </c>
      <c r="B586" s="3">
        <f>1</f>
        <v>1</v>
      </c>
      <c r="C586" s="1">
        <f>0</f>
        <v>0</v>
      </c>
      <c r="D586" s="1">
        <f>0</f>
        <v>0</v>
      </c>
      <c r="E586" s="1" t="s">
        <v>900</v>
      </c>
      <c r="F586" s="1"/>
      <c r="G586" s="5">
        <f>20.3194</f>
        <v>20.3194</v>
      </c>
      <c r="H586" s="7">
        <f t="shared" si="9"/>
        <v>0.00886330822279316</v>
      </c>
    </row>
    <row r="587" spans="1:8" ht="14.25" customHeight="1">
      <c r="A587" s="3">
        <f>3</f>
        <v>3</v>
      </c>
      <c r="B587" s="3">
        <f>1</f>
        <v>1</v>
      </c>
      <c r="C587" s="1">
        <f>0</f>
        <v>0</v>
      </c>
      <c r="D587" s="1">
        <f>0</f>
        <v>0</v>
      </c>
      <c r="E587" s="1" t="s">
        <v>1364</v>
      </c>
      <c r="F587" s="1"/>
      <c r="G587" s="5">
        <f>117.8125</f>
        <v>117.8125</v>
      </c>
      <c r="H587" s="7">
        <f t="shared" si="9"/>
        <v>0.05138973099588664</v>
      </c>
    </row>
    <row r="588" spans="1:8" ht="14.25" customHeight="1">
      <c r="A588" s="3">
        <f>0</f>
        <v>0</v>
      </c>
      <c r="B588" s="3">
        <f>1</f>
        <v>1</v>
      </c>
      <c r="C588" s="1">
        <f>0</f>
        <v>0</v>
      </c>
      <c r="D588" s="1">
        <f>0</f>
        <v>0</v>
      </c>
      <c r="E588" s="1" t="s">
        <v>491</v>
      </c>
      <c r="F588" s="1" t="s">
        <v>115</v>
      </c>
      <c r="G588" s="5">
        <f>147.1086</f>
        <v>147.1086</v>
      </c>
      <c r="H588" s="7">
        <f t="shared" si="9"/>
        <v>0.0641686695484901</v>
      </c>
    </row>
    <row r="589" spans="1:8" ht="14.25" customHeight="1">
      <c r="A589" s="3">
        <f>3</f>
        <v>3</v>
      </c>
      <c r="B589" s="3">
        <f>1</f>
        <v>1</v>
      </c>
      <c r="C589" s="1">
        <f>0</f>
        <v>0</v>
      </c>
      <c r="D589" s="1">
        <f>0</f>
        <v>0</v>
      </c>
      <c r="E589" s="1" t="s">
        <v>1413</v>
      </c>
      <c r="F589" s="1"/>
      <c r="G589" s="5">
        <f>11.625</f>
        <v>11.625</v>
      </c>
      <c r="H589" s="7">
        <f t="shared" si="9"/>
        <v>0.005070816957684305</v>
      </c>
    </row>
    <row r="590" spans="1:8" ht="14.25" customHeight="1">
      <c r="A590" s="3">
        <f>3</f>
        <v>3</v>
      </c>
      <c r="B590" s="3">
        <f>1</f>
        <v>1</v>
      </c>
      <c r="C590" s="1">
        <f>0</f>
        <v>0</v>
      </c>
      <c r="D590" s="1">
        <f>0</f>
        <v>0</v>
      </c>
      <c r="E590" s="1" t="s">
        <v>197</v>
      </c>
      <c r="F590" s="1"/>
      <c r="G590" s="5">
        <f>298.5</f>
        <v>298.5</v>
      </c>
      <c r="H590" s="7">
        <f t="shared" si="9"/>
        <v>0.1302054934940873</v>
      </c>
    </row>
    <row r="591" spans="1:8" ht="14.25" customHeight="1">
      <c r="A591" s="3">
        <f>3</f>
        <v>3</v>
      </c>
      <c r="B591" s="3">
        <f>1</f>
        <v>1</v>
      </c>
      <c r="C591" s="1">
        <f>0</f>
        <v>0</v>
      </c>
      <c r="D591" s="1">
        <f>0</f>
        <v>0</v>
      </c>
      <c r="E591" s="1" t="s">
        <v>146</v>
      </c>
      <c r="F591" s="1"/>
      <c r="G591" s="5">
        <f>305</f>
        <v>305</v>
      </c>
      <c r="H591" s="7">
        <f t="shared" si="9"/>
        <v>0.13304078899730865</v>
      </c>
    </row>
    <row r="592" spans="1:8" ht="14.25" customHeight="1">
      <c r="A592" s="3">
        <f>3</f>
        <v>3</v>
      </c>
      <c r="B592" s="3">
        <f>1</f>
        <v>1</v>
      </c>
      <c r="C592" s="1">
        <f>0</f>
        <v>0</v>
      </c>
      <c r="D592" s="1">
        <f>0</f>
        <v>0</v>
      </c>
      <c r="E592" s="1" t="s">
        <v>147</v>
      </c>
      <c r="F592" s="1"/>
      <c r="G592" s="5">
        <f>302</f>
        <v>302</v>
      </c>
      <c r="H592" s="7">
        <f t="shared" si="9"/>
        <v>0.13173219107274495</v>
      </c>
    </row>
    <row r="593" spans="1:8" ht="14.25" customHeight="1">
      <c r="A593" s="3">
        <f>3</f>
        <v>3</v>
      </c>
      <c r="B593" s="3">
        <f>1</f>
        <v>1</v>
      </c>
      <c r="C593" s="1">
        <f>0</f>
        <v>0</v>
      </c>
      <c r="D593" s="1">
        <f>0</f>
        <v>0</v>
      </c>
      <c r="E593" s="1" t="s">
        <v>636</v>
      </c>
      <c r="F593" s="1"/>
      <c r="G593" s="5">
        <f>1192.3333</f>
        <v>1192.3333</v>
      </c>
      <c r="H593" s="7">
        <f t="shared" si="9"/>
        <v>0.5200949605893925</v>
      </c>
    </row>
    <row r="594" spans="1:8" ht="14.25" customHeight="1">
      <c r="A594" s="3">
        <f>3</f>
        <v>3</v>
      </c>
      <c r="B594" s="3">
        <f>1</f>
        <v>1</v>
      </c>
      <c r="C594" s="1">
        <f>0</f>
        <v>0</v>
      </c>
      <c r="D594" s="1">
        <f>0</f>
        <v>0</v>
      </c>
      <c r="E594" s="1" t="s">
        <v>662</v>
      </c>
      <c r="F594" s="1"/>
      <c r="G594" s="5">
        <f>53.3333</f>
        <v>53.3333</v>
      </c>
      <c r="H594" s="7">
        <f t="shared" si="9"/>
        <v>0.023263948563377577</v>
      </c>
    </row>
    <row r="595" spans="1:8" ht="14.25" customHeight="1">
      <c r="A595" s="3">
        <f>3</f>
        <v>3</v>
      </c>
      <c r="B595" s="3">
        <f>1</f>
        <v>1</v>
      </c>
      <c r="C595" s="1">
        <f>0</f>
        <v>0</v>
      </c>
      <c r="D595" s="1">
        <f>0</f>
        <v>0</v>
      </c>
      <c r="E595" s="1" t="s">
        <v>502</v>
      </c>
      <c r="F595" s="1"/>
      <c r="G595" s="5">
        <f>538.7611</f>
        <v>538.7611</v>
      </c>
      <c r="H595" s="7">
        <f t="shared" si="9"/>
        <v>0.23500721909855052</v>
      </c>
    </row>
    <row r="596" spans="1:8" ht="14.25" customHeight="1">
      <c r="A596" s="3">
        <f>0</f>
        <v>0</v>
      </c>
      <c r="B596" s="3">
        <f>1</f>
        <v>1</v>
      </c>
      <c r="C596" s="1">
        <f>0</f>
        <v>0</v>
      </c>
      <c r="D596" s="1">
        <f>0</f>
        <v>0</v>
      </c>
      <c r="E596" s="1" t="s">
        <v>922</v>
      </c>
      <c r="F596" s="1" t="s">
        <v>531</v>
      </c>
      <c r="G596" s="5">
        <f>189.8056</f>
        <v>189.8056</v>
      </c>
      <c r="H596" s="7">
        <f t="shared" si="9"/>
        <v>0.08279307141018874</v>
      </c>
    </row>
    <row r="597" spans="1:8" ht="14.25" customHeight="1">
      <c r="A597" s="3">
        <f>3</f>
        <v>3</v>
      </c>
      <c r="B597" s="3">
        <f>1</f>
        <v>1</v>
      </c>
      <c r="C597" s="1">
        <f>0</f>
        <v>0</v>
      </c>
      <c r="D597" s="1">
        <f>0</f>
        <v>0</v>
      </c>
      <c r="E597" s="1" t="s">
        <v>637</v>
      </c>
      <c r="F597" s="1"/>
      <c r="G597" s="5">
        <f>24.1667</f>
        <v>24.1667</v>
      </c>
      <c r="H597" s="7">
        <f t="shared" si="9"/>
        <v>0.010541497821184454</v>
      </c>
    </row>
    <row r="598" spans="1:8" ht="14.25" customHeight="1">
      <c r="A598" s="3">
        <f>3</f>
        <v>3</v>
      </c>
      <c r="B598" s="3">
        <f>1</f>
        <v>1</v>
      </c>
      <c r="C598" s="1">
        <f>0</f>
        <v>0</v>
      </c>
      <c r="D598" s="1">
        <f>0</f>
        <v>0</v>
      </c>
      <c r="E598" s="1" t="s">
        <v>748</v>
      </c>
      <c r="F598" s="1"/>
      <c r="G598" s="5">
        <f>20.8571</f>
        <v>20.8571</v>
      </c>
      <c r="H598" s="7">
        <f t="shared" si="9"/>
        <v>0.00909785259080579</v>
      </c>
    </row>
    <row r="599" spans="1:8" ht="14.25" customHeight="1">
      <c r="A599" s="3">
        <f>3</f>
        <v>3</v>
      </c>
      <c r="B599" s="3">
        <f>1</f>
        <v>1</v>
      </c>
      <c r="C599" s="1">
        <f>0</f>
        <v>0</v>
      </c>
      <c r="D599" s="1">
        <f>0</f>
        <v>0</v>
      </c>
      <c r="E599" s="1" t="s">
        <v>593</v>
      </c>
      <c r="F599" s="1"/>
      <c r="G599" s="5">
        <f>636</f>
        <v>636</v>
      </c>
      <c r="H599" s="7">
        <f t="shared" si="9"/>
        <v>0.2774227600075026</v>
      </c>
    </row>
    <row r="600" spans="1:8" ht="14.25" customHeight="1">
      <c r="A600" s="3">
        <f>3</f>
        <v>3</v>
      </c>
      <c r="B600" s="3">
        <f>1</f>
        <v>1</v>
      </c>
      <c r="C600" s="1">
        <f>0</f>
        <v>0</v>
      </c>
      <c r="D600" s="1">
        <f>0</f>
        <v>0</v>
      </c>
      <c r="E600" s="1" t="s">
        <v>638</v>
      </c>
      <c r="F600" s="1"/>
      <c r="G600" s="5">
        <f>28.5939</f>
        <v>28.5939</v>
      </c>
      <c r="H600" s="7">
        <f t="shared" si="9"/>
        <v>0.012472639398393914</v>
      </c>
    </row>
    <row r="601" spans="1:8" ht="14.25" customHeight="1">
      <c r="A601" s="3">
        <f>3</f>
        <v>3</v>
      </c>
      <c r="B601" s="3">
        <f>1</f>
        <v>1</v>
      </c>
      <c r="C601" s="1">
        <f>0</f>
        <v>0</v>
      </c>
      <c r="D601" s="1">
        <f>0</f>
        <v>0</v>
      </c>
      <c r="E601" s="1" t="s">
        <v>766</v>
      </c>
      <c r="F601" s="1"/>
      <c r="G601" s="5">
        <f>13.3952</f>
        <v>13.3952</v>
      </c>
      <c r="H601" s="7">
        <f t="shared" si="9"/>
        <v>0.005842976973038521</v>
      </c>
    </row>
    <row r="602" spans="1:8" ht="14.25" customHeight="1">
      <c r="A602" s="3">
        <f>0</f>
        <v>0</v>
      </c>
      <c r="B602" s="3">
        <f>1</f>
        <v>1</v>
      </c>
      <c r="C602" s="1">
        <f>0</f>
        <v>0</v>
      </c>
      <c r="D602" s="1">
        <f>0</f>
        <v>0</v>
      </c>
      <c r="E602" s="1" t="s">
        <v>982</v>
      </c>
      <c r="F602" s="1" t="s">
        <v>142</v>
      </c>
      <c r="G602" s="5">
        <f>116.5</f>
        <v>116.5</v>
      </c>
      <c r="H602" s="7">
        <f t="shared" si="9"/>
        <v>0.05081721940389002</v>
      </c>
    </row>
    <row r="603" spans="1:8" ht="14.25" customHeight="1">
      <c r="A603" s="3">
        <f>0</f>
        <v>0</v>
      </c>
      <c r="B603" s="3">
        <f>1</f>
        <v>1</v>
      </c>
      <c r="C603" s="1">
        <f>0</f>
        <v>0</v>
      </c>
      <c r="D603" s="1">
        <f>0</f>
        <v>0</v>
      </c>
      <c r="E603" s="1" t="s">
        <v>982</v>
      </c>
      <c r="F603" s="1" t="s">
        <v>142</v>
      </c>
      <c r="G603" s="5">
        <f>189.8056</f>
        <v>189.8056</v>
      </c>
      <c r="H603" s="7">
        <f t="shared" si="9"/>
        <v>0.08279307141018874</v>
      </c>
    </row>
    <row r="604" spans="1:8" ht="14.25" customHeight="1">
      <c r="A604" s="3">
        <f>3</f>
        <v>3</v>
      </c>
      <c r="B604" s="3">
        <f>1</f>
        <v>1</v>
      </c>
      <c r="C604" s="1">
        <f>0</f>
        <v>0</v>
      </c>
      <c r="D604" s="1">
        <f>0</f>
        <v>0</v>
      </c>
      <c r="E604" s="1" t="s">
        <v>594</v>
      </c>
      <c r="F604" s="1"/>
      <c r="G604" s="5">
        <f>6.8421</f>
        <v>6.8421</v>
      </c>
      <c r="H604" s="7">
        <f t="shared" si="9"/>
        <v>0.0029845192865524117</v>
      </c>
    </row>
    <row r="605" spans="1:8" ht="14.25" customHeight="1">
      <c r="A605" s="3">
        <f>3</f>
        <v>3</v>
      </c>
      <c r="B605" s="3">
        <f>1</f>
        <v>1</v>
      </c>
      <c r="C605" s="1">
        <f>0</f>
        <v>0</v>
      </c>
      <c r="D605" s="1">
        <f>0</f>
        <v>0</v>
      </c>
      <c r="E605" s="1" t="s">
        <v>711</v>
      </c>
      <c r="F605" s="1"/>
      <c r="G605" s="5">
        <f>58.25</f>
        <v>58.25</v>
      </c>
      <c r="H605" s="7">
        <f t="shared" si="9"/>
        <v>0.02540860970194501</v>
      </c>
    </row>
    <row r="606" spans="1:8" ht="14.25" customHeight="1">
      <c r="A606" s="3">
        <f>0</f>
        <v>0</v>
      </c>
      <c r="B606" s="3">
        <f>1</f>
        <v>1</v>
      </c>
      <c r="C606" s="1">
        <f>0</f>
        <v>0</v>
      </c>
      <c r="D606" s="1">
        <f>0</f>
        <v>0</v>
      </c>
      <c r="E606" s="1" t="s">
        <v>1070</v>
      </c>
      <c r="F606" s="1" t="s">
        <v>1534</v>
      </c>
      <c r="G606" s="5">
        <f>223.6667</f>
        <v>223.6667</v>
      </c>
      <c r="H606" s="7">
        <f t="shared" si="9"/>
        <v>0.09756325980466994</v>
      </c>
    </row>
    <row r="607" spans="1:8" ht="14.25" customHeight="1">
      <c r="A607" s="3">
        <f>3</f>
        <v>3</v>
      </c>
      <c r="B607" s="3">
        <f>1</f>
        <v>1</v>
      </c>
      <c r="C607" s="1">
        <f>0</f>
        <v>0</v>
      </c>
      <c r="D607" s="1">
        <f>0</f>
        <v>0</v>
      </c>
      <c r="E607" s="1" t="s">
        <v>663</v>
      </c>
      <c r="F607" s="1"/>
      <c r="G607" s="5">
        <f>66.318</f>
        <v>66.318</v>
      </c>
      <c r="H607" s="7">
        <f t="shared" si="9"/>
        <v>0.028927865720404965</v>
      </c>
    </row>
    <row r="608" spans="1:8" ht="14.25" customHeight="1">
      <c r="A608" s="3">
        <f>3</f>
        <v>3</v>
      </c>
      <c r="B608" s="3">
        <f>1</f>
        <v>1</v>
      </c>
      <c r="C608" s="1">
        <f>0</f>
        <v>0</v>
      </c>
      <c r="D608" s="1">
        <f>0</f>
        <v>0</v>
      </c>
      <c r="E608" s="1" t="s">
        <v>639</v>
      </c>
      <c r="F608" s="1"/>
      <c r="G608" s="5">
        <f>72.4852</f>
        <v>72.4852</v>
      </c>
      <c r="H608" s="7">
        <f t="shared" si="9"/>
        <v>0.03161799409386137</v>
      </c>
    </row>
    <row r="609" spans="1:8" ht="14.25" customHeight="1">
      <c r="A609" s="3">
        <f>3</f>
        <v>3</v>
      </c>
      <c r="B609" s="3">
        <f>1</f>
        <v>1</v>
      </c>
      <c r="C609" s="1">
        <f>0</f>
        <v>0</v>
      </c>
      <c r="D609" s="1">
        <f>0</f>
        <v>0</v>
      </c>
      <c r="E609" s="1" t="s">
        <v>1196</v>
      </c>
      <c r="F609" s="1"/>
      <c r="G609" s="5">
        <f>653.1662</f>
        <v>653.1662</v>
      </c>
      <c r="H609" s="7">
        <f t="shared" si="9"/>
        <v>0.2849106445717177</v>
      </c>
    </row>
    <row r="610" spans="1:8" ht="14.25" customHeight="1">
      <c r="A610" s="3">
        <f>3</f>
        <v>3</v>
      </c>
      <c r="B610" s="3">
        <f>1</f>
        <v>1</v>
      </c>
      <c r="C610" s="1">
        <f>0</f>
        <v>0</v>
      </c>
      <c r="D610" s="1">
        <f>0</f>
        <v>0</v>
      </c>
      <c r="E610" s="1" t="s">
        <v>749</v>
      </c>
      <c r="F610" s="1"/>
      <c r="G610" s="5">
        <f>20.8571</f>
        <v>20.8571</v>
      </c>
      <c r="H610" s="7">
        <f t="shared" si="9"/>
        <v>0.00909785259080579</v>
      </c>
    </row>
    <row r="611" spans="1:8" ht="14.25" customHeight="1">
      <c r="A611" s="3">
        <f>0</f>
        <v>0</v>
      </c>
      <c r="B611" s="3">
        <f>1</f>
        <v>1</v>
      </c>
      <c r="C611" s="1">
        <f>0</f>
        <v>0</v>
      </c>
      <c r="D611" s="1">
        <f>0</f>
        <v>0</v>
      </c>
      <c r="E611" s="1" t="s">
        <v>1100</v>
      </c>
      <c r="F611" s="1" t="s">
        <v>109</v>
      </c>
      <c r="G611" s="5">
        <f>252.3333</f>
        <v>252.3333</v>
      </c>
      <c r="H611" s="7">
        <f t="shared" si="9"/>
        <v>0.11006761089276912</v>
      </c>
    </row>
    <row r="612" spans="1:8" ht="14.25" customHeight="1">
      <c r="A612" s="3">
        <f>0</f>
        <v>0</v>
      </c>
      <c r="B612" s="3">
        <f>1</f>
        <v>1</v>
      </c>
      <c r="C612" s="1">
        <f>0</f>
        <v>0</v>
      </c>
      <c r="D612" s="1">
        <f>0</f>
        <v>0</v>
      </c>
      <c r="E612" s="1" t="s">
        <v>1380</v>
      </c>
      <c r="F612" s="1" t="s">
        <v>246</v>
      </c>
      <c r="G612" s="5">
        <f>998.2813</f>
        <v>998.2813</v>
      </c>
      <c r="H612" s="7">
        <f t="shared" si="9"/>
        <v>0.43544961243691466</v>
      </c>
    </row>
    <row r="613" spans="1:8" ht="14.25" customHeight="1">
      <c r="A613" s="3">
        <f>3</f>
        <v>3</v>
      </c>
      <c r="B613" s="3">
        <f>1</f>
        <v>1</v>
      </c>
      <c r="C613" s="1">
        <f>0</f>
        <v>0</v>
      </c>
      <c r="D613" s="1">
        <f>0</f>
        <v>0</v>
      </c>
      <c r="E613" s="1" t="s">
        <v>595</v>
      </c>
      <c r="F613" s="1"/>
      <c r="G613" s="5">
        <f>73.1601</f>
        <v>73.1601</v>
      </c>
      <c r="H613" s="7">
        <f t="shared" si="9"/>
        <v>0.03191238500695738</v>
      </c>
    </row>
    <row r="614" spans="1:8" ht="14.25" customHeight="1">
      <c r="A614" s="3">
        <f>3</f>
        <v>3</v>
      </c>
      <c r="B614" s="3">
        <f>1</f>
        <v>1</v>
      </c>
      <c r="C614" s="1">
        <f>0</f>
        <v>0</v>
      </c>
      <c r="D614" s="1">
        <f>0</f>
        <v>0</v>
      </c>
      <c r="E614" s="1" t="s">
        <v>724</v>
      </c>
      <c r="F614" s="1"/>
      <c r="G614" s="5">
        <f>58.25</f>
        <v>58.25</v>
      </c>
      <c r="H614" s="7">
        <f t="shared" si="9"/>
        <v>0.02540860970194501</v>
      </c>
    </row>
    <row r="615" spans="1:8" ht="14.25" customHeight="1">
      <c r="A615" s="3">
        <f>0</f>
        <v>0</v>
      </c>
      <c r="B615" s="3">
        <f>1</f>
        <v>1</v>
      </c>
      <c r="C615" s="1">
        <f>0</f>
        <v>0</v>
      </c>
      <c r="D615" s="1">
        <f>0</f>
        <v>0</v>
      </c>
      <c r="E615" s="1" t="s">
        <v>965</v>
      </c>
      <c r="F615" s="1" t="s">
        <v>107</v>
      </c>
      <c r="G615" s="5">
        <f>311.3</f>
        <v>311.3</v>
      </c>
      <c r="H615" s="7">
        <f t="shared" si="9"/>
        <v>0.1357888446388924</v>
      </c>
    </row>
    <row r="616" spans="1:8" ht="14.25" customHeight="1">
      <c r="A616" s="3">
        <f>0</f>
        <v>0</v>
      </c>
      <c r="B616" s="3">
        <f>1</f>
        <v>1</v>
      </c>
      <c r="C616" s="1">
        <f>0</f>
        <v>0</v>
      </c>
      <c r="D616" s="1">
        <f>0</f>
        <v>0</v>
      </c>
      <c r="E616" s="1" t="s">
        <v>983</v>
      </c>
      <c r="F616" s="1" t="s">
        <v>1245</v>
      </c>
      <c r="G616" s="5">
        <f>70</f>
        <v>70</v>
      </c>
      <c r="H616" s="7">
        <f t="shared" si="9"/>
        <v>0.030533951573152803</v>
      </c>
    </row>
    <row r="617" spans="1:8" ht="14.25" customHeight="1">
      <c r="A617" s="3">
        <f>0</f>
        <v>0</v>
      </c>
      <c r="B617" s="3">
        <f>1</f>
        <v>1</v>
      </c>
      <c r="C617" s="1">
        <f>0</f>
        <v>0</v>
      </c>
      <c r="D617" s="1">
        <f>0</f>
        <v>0</v>
      </c>
      <c r="E617" s="1" t="s">
        <v>966</v>
      </c>
      <c r="F617" s="1" t="s">
        <v>1580</v>
      </c>
      <c r="G617" s="5">
        <f>188.263</f>
        <v>188.263</v>
      </c>
      <c r="H617" s="7">
        <f t="shared" si="9"/>
        <v>0.0821201903573781</v>
      </c>
    </row>
    <row r="618" spans="1:8" ht="14.25" customHeight="1">
      <c r="A618" s="3">
        <f>3</f>
        <v>3</v>
      </c>
      <c r="B618" s="3">
        <f>1</f>
        <v>1</v>
      </c>
      <c r="C618" s="1">
        <f>0</f>
        <v>0</v>
      </c>
      <c r="D618" s="1">
        <f>0</f>
        <v>0</v>
      </c>
      <c r="E618" s="1" t="s">
        <v>967</v>
      </c>
      <c r="F618" s="1"/>
      <c r="G618" s="5">
        <f>107.375</f>
        <v>107.375</v>
      </c>
      <c r="H618" s="7">
        <f t="shared" si="9"/>
        <v>0.04683690071667546</v>
      </c>
    </row>
    <row r="619" spans="1:8" ht="14.25" customHeight="1">
      <c r="A619" s="3">
        <f>3</f>
        <v>3</v>
      </c>
      <c r="B619" s="3">
        <f>1</f>
        <v>1</v>
      </c>
      <c r="C619" s="1">
        <f>0</f>
        <v>0</v>
      </c>
      <c r="D619" s="1">
        <f>0</f>
        <v>0</v>
      </c>
      <c r="E619" s="1" t="s">
        <v>968</v>
      </c>
      <c r="F619" s="1"/>
      <c r="G619" s="5">
        <f>29</f>
        <v>29</v>
      </c>
      <c r="H619" s="7">
        <f t="shared" si="9"/>
        <v>0.01264977993744902</v>
      </c>
    </row>
    <row r="620" spans="1:8" ht="14.25" customHeight="1">
      <c r="A620" s="3">
        <f>3</f>
        <v>3</v>
      </c>
      <c r="B620" s="3">
        <f>1</f>
        <v>1</v>
      </c>
      <c r="C620" s="1">
        <f>0</f>
        <v>0</v>
      </c>
      <c r="D620" s="1">
        <f>0</f>
        <v>0</v>
      </c>
      <c r="E620" s="1" t="s">
        <v>923</v>
      </c>
      <c r="F620" s="1"/>
      <c r="G620" s="5">
        <f>6.4722</f>
        <v>6.4722</v>
      </c>
      <c r="H620" s="7">
        <f t="shared" si="9"/>
        <v>0.0028231691624537084</v>
      </c>
    </row>
    <row r="621" spans="1:8" ht="14.25" customHeight="1">
      <c r="A621" s="3">
        <f>3</f>
        <v>3</v>
      </c>
      <c r="B621" s="3">
        <f>1</f>
        <v>1</v>
      </c>
      <c r="C621" s="1">
        <f>0</f>
        <v>0</v>
      </c>
      <c r="D621" s="1">
        <f>0</f>
        <v>0</v>
      </c>
      <c r="E621" s="1" t="s">
        <v>98</v>
      </c>
      <c r="F621" s="1"/>
      <c r="G621" s="5">
        <f>3.5939</f>
        <v>3.5939</v>
      </c>
      <c r="H621" s="7">
        <f t="shared" si="9"/>
        <v>0.0015676566936964839</v>
      </c>
    </row>
    <row r="622" spans="1:8" ht="14.25" customHeight="1">
      <c r="A622" s="3">
        <f>3</f>
        <v>3</v>
      </c>
      <c r="B622" s="3">
        <f>1</f>
        <v>1</v>
      </c>
      <c r="C622" s="1">
        <f>0</f>
        <v>0</v>
      </c>
      <c r="D622" s="1">
        <f>0</f>
        <v>0</v>
      </c>
      <c r="E622" s="1" t="s">
        <v>795</v>
      </c>
      <c r="F622" s="1"/>
      <c r="G622" s="5">
        <f>3.5939</f>
        <v>3.5939</v>
      </c>
      <c r="H622" s="7">
        <f t="shared" si="9"/>
        <v>0.0015676566936964839</v>
      </c>
    </row>
    <row r="623" spans="1:8" ht="14.25" customHeight="1">
      <c r="A623" s="3">
        <f>3</f>
        <v>3</v>
      </c>
      <c r="B623" s="3">
        <f>1</f>
        <v>1</v>
      </c>
      <c r="C623" s="1">
        <f>0</f>
        <v>0</v>
      </c>
      <c r="D623" s="1">
        <f>0</f>
        <v>0</v>
      </c>
      <c r="E623" s="1" t="s">
        <v>664</v>
      </c>
      <c r="F623" s="1"/>
      <c r="G623" s="5">
        <f>188.263</f>
        <v>188.263</v>
      </c>
      <c r="H623" s="7">
        <f t="shared" si="9"/>
        <v>0.0821201903573781</v>
      </c>
    </row>
    <row r="624" spans="1:8" ht="14.25" customHeight="1">
      <c r="A624" s="3">
        <f>3</f>
        <v>3</v>
      </c>
      <c r="B624" s="3">
        <f>1</f>
        <v>1</v>
      </c>
      <c r="C624" s="1">
        <f>0</f>
        <v>0</v>
      </c>
      <c r="D624" s="1">
        <f>0</f>
        <v>0</v>
      </c>
      <c r="E624" s="1" t="s">
        <v>1015</v>
      </c>
      <c r="F624" s="1"/>
      <c r="G624" s="5">
        <f>24.1667</f>
        <v>24.1667</v>
      </c>
      <c r="H624" s="7">
        <f t="shared" si="9"/>
        <v>0.010541497821184454</v>
      </c>
    </row>
    <row r="625" spans="1:8" ht="14.25" customHeight="1">
      <c r="A625" s="3">
        <f>3</f>
        <v>3</v>
      </c>
      <c r="B625" s="3">
        <f>1</f>
        <v>1</v>
      </c>
      <c r="C625" s="1">
        <f>0</f>
        <v>0</v>
      </c>
      <c r="D625" s="1">
        <f>0</f>
        <v>0</v>
      </c>
      <c r="E625" s="1" t="s">
        <v>1037</v>
      </c>
      <c r="F625" s="1"/>
      <c r="G625" s="5">
        <f>241.9861</f>
        <v>241.9861</v>
      </c>
      <c r="H625" s="7">
        <f t="shared" si="9"/>
        <v>0.1055541694110873</v>
      </c>
    </row>
    <row r="626" spans="1:8" ht="14.25" customHeight="1">
      <c r="A626" s="3">
        <f>3</f>
        <v>3</v>
      </c>
      <c r="B626" s="3">
        <f>1</f>
        <v>1</v>
      </c>
      <c r="C626" s="1">
        <f>0</f>
        <v>0</v>
      </c>
      <c r="D626" s="1">
        <f>0</f>
        <v>0</v>
      </c>
      <c r="E626" s="1" t="s">
        <v>44</v>
      </c>
      <c r="F626" s="1"/>
      <c r="G626" s="5">
        <f>406</f>
        <v>406</v>
      </c>
      <c r="H626" s="7">
        <f t="shared" si="9"/>
        <v>0.17709691912428627</v>
      </c>
    </row>
    <row r="627" spans="1:8" ht="14.25" customHeight="1">
      <c r="A627" s="3">
        <f>0</f>
        <v>0</v>
      </c>
      <c r="B627" s="3">
        <f>1</f>
        <v>1</v>
      </c>
      <c r="C627" s="1">
        <f>0</f>
        <v>0</v>
      </c>
      <c r="D627" s="1">
        <f>0</f>
        <v>0</v>
      </c>
      <c r="E627" s="1" t="s">
        <v>545</v>
      </c>
      <c r="F627" s="1" t="s">
        <v>291</v>
      </c>
      <c r="G627" s="5">
        <f>25.2105</f>
        <v>25.2105</v>
      </c>
      <c r="H627" s="7">
        <f t="shared" si="9"/>
        <v>0.010996802659070982</v>
      </c>
    </row>
    <row r="628" spans="1:8" ht="14.25" customHeight="1">
      <c r="A628" s="3">
        <f>3</f>
        <v>3</v>
      </c>
      <c r="B628" s="3">
        <f>1</f>
        <v>1</v>
      </c>
      <c r="C628" s="1">
        <f>0</f>
        <v>0</v>
      </c>
      <c r="D628" s="1">
        <f>0</f>
        <v>0</v>
      </c>
      <c r="E628" s="1" t="s">
        <v>725</v>
      </c>
      <c r="F628" s="1"/>
      <c r="G628" s="5">
        <f>18.2188</f>
        <v>18.2188</v>
      </c>
      <c r="H628" s="7">
        <f t="shared" si="9"/>
        <v>0.007947027956013663</v>
      </c>
    </row>
    <row r="629" spans="1:8" ht="14.25" customHeight="1">
      <c r="A629" s="3">
        <f>0</f>
        <v>0</v>
      </c>
      <c r="B629" s="3">
        <f>1</f>
        <v>1</v>
      </c>
      <c r="C629" s="1">
        <f>0</f>
        <v>0</v>
      </c>
      <c r="D629" s="1">
        <f>0</f>
        <v>0</v>
      </c>
      <c r="E629" s="1" t="s">
        <v>335</v>
      </c>
      <c r="F629" s="1" t="s">
        <v>1573</v>
      </c>
      <c r="G629" s="5">
        <f>89</f>
        <v>89</v>
      </c>
      <c r="H629" s="7">
        <f t="shared" si="9"/>
        <v>0.03882173842872285</v>
      </c>
    </row>
    <row r="630" spans="1:8" ht="14.25" customHeight="1">
      <c r="A630" s="3">
        <f>3</f>
        <v>3</v>
      </c>
      <c r="B630" s="3">
        <f>1</f>
        <v>1</v>
      </c>
      <c r="C630" s="1">
        <f>0</f>
        <v>0</v>
      </c>
      <c r="D630" s="1">
        <f>0</f>
        <v>0</v>
      </c>
      <c r="E630" s="1" t="s">
        <v>1147</v>
      </c>
      <c r="F630" s="1"/>
      <c r="G630" s="5">
        <f>154.3333</f>
        <v>154.3333</v>
      </c>
      <c r="H630" s="7">
        <f t="shared" si="9"/>
        <v>0.0673200786903552</v>
      </c>
    </row>
    <row r="631" spans="1:8" ht="14.25" customHeight="1">
      <c r="A631" s="3">
        <f>3</f>
        <v>3</v>
      </c>
      <c r="B631" s="3">
        <f>1</f>
        <v>1</v>
      </c>
      <c r="C631" s="1">
        <f>0</f>
        <v>0</v>
      </c>
      <c r="D631" s="1">
        <f>0</f>
        <v>0</v>
      </c>
      <c r="E631" s="1" t="s">
        <v>302</v>
      </c>
      <c r="F631" s="1"/>
      <c r="G631" s="5">
        <f>6.7</f>
        <v>6.7</v>
      </c>
      <c r="H631" s="7">
        <f t="shared" si="9"/>
        <v>0.0029225353648589113</v>
      </c>
    </row>
    <row r="632" spans="1:8" ht="14.25" customHeight="1">
      <c r="A632" s="3">
        <f>3</f>
        <v>3</v>
      </c>
      <c r="B632" s="3">
        <f>1</f>
        <v>1</v>
      </c>
      <c r="C632" s="1">
        <f>0</f>
        <v>0</v>
      </c>
      <c r="D632" s="1">
        <f>0</f>
        <v>0</v>
      </c>
      <c r="E632" s="1" t="s">
        <v>524</v>
      </c>
      <c r="F632" s="1"/>
      <c r="G632" s="5">
        <f>41.125</f>
        <v>41.125</v>
      </c>
      <c r="H632" s="7">
        <f t="shared" si="9"/>
        <v>0.017938696549227272</v>
      </c>
    </row>
    <row r="633" spans="1:8" ht="14.25" customHeight="1">
      <c r="A633" s="3">
        <f>3</f>
        <v>3</v>
      </c>
      <c r="B633" s="3">
        <f>1</f>
        <v>1</v>
      </c>
      <c r="C633" s="1">
        <f>0</f>
        <v>0</v>
      </c>
      <c r="D633" s="1">
        <f>0</f>
        <v>0</v>
      </c>
      <c r="E633" s="1" t="s">
        <v>45</v>
      </c>
      <c r="F633" s="1"/>
      <c r="G633" s="5">
        <f>576</f>
        <v>576</v>
      </c>
      <c r="H633" s="7">
        <f t="shared" si="9"/>
        <v>0.2512508015162288</v>
      </c>
    </row>
    <row r="634" spans="1:8" ht="14.25" customHeight="1">
      <c r="A634" s="3">
        <f>3</f>
        <v>3</v>
      </c>
      <c r="B634" s="3">
        <f>1</f>
        <v>1</v>
      </c>
      <c r="C634" s="1">
        <f>0</f>
        <v>0</v>
      </c>
      <c r="D634" s="1">
        <f>0</f>
        <v>0</v>
      </c>
      <c r="E634" s="1" t="s">
        <v>336</v>
      </c>
      <c r="F634" s="1"/>
      <c r="G634" s="5">
        <f>23.65</f>
        <v>23.65</v>
      </c>
      <c r="H634" s="7">
        <f t="shared" si="9"/>
        <v>0.010316113638643768</v>
      </c>
    </row>
    <row r="635" spans="1:8" ht="14.25" customHeight="1">
      <c r="A635" s="3">
        <f>3</f>
        <v>3</v>
      </c>
      <c r="B635" s="3">
        <f>1</f>
        <v>1</v>
      </c>
      <c r="C635" s="1">
        <f>0</f>
        <v>0</v>
      </c>
      <c r="D635" s="1">
        <f>0</f>
        <v>0</v>
      </c>
      <c r="E635" s="1" t="s">
        <v>1148</v>
      </c>
      <c r="F635" s="1"/>
      <c r="G635" s="5">
        <f>0.8333</f>
        <v>0.8333</v>
      </c>
      <c r="H635" s="7">
        <f t="shared" si="9"/>
        <v>0.00036348488351297477</v>
      </c>
    </row>
    <row r="636" spans="1:8" ht="14.25" customHeight="1">
      <c r="A636" s="3">
        <f>3</f>
        <v>3</v>
      </c>
      <c r="B636" s="3">
        <f>1</f>
        <v>1</v>
      </c>
      <c r="C636" s="1">
        <f>0</f>
        <v>0</v>
      </c>
      <c r="D636" s="1">
        <f>0</f>
        <v>0</v>
      </c>
      <c r="E636" s="1" t="s">
        <v>573</v>
      </c>
      <c r="F636" s="1"/>
      <c r="G636" s="5">
        <f>25.4167</f>
        <v>25.4167</v>
      </c>
      <c r="H636" s="7">
        <f t="shared" si="9"/>
        <v>0.011086746956419325</v>
      </c>
    </row>
    <row r="637" spans="1:8" ht="14.25" customHeight="1">
      <c r="A637" s="3">
        <f>0</f>
        <v>0</v>
      </c>
      <c r="B637" s="3">
        <f>2</f>
        <v>2</v>
      </c>
      <c r="C637" s="1">
        <f>0</f>
        <v>0</v>
      </c>
      <c r="D637" s="1">
        <f>0</f>
        <v>0</v>
      </c>
      <c r="E637" s="1" t="s">
        <v>964</v>
      </c>
      <c r="F637" s="1"/>
      <c r="G637" s="5">
        <f>316</f>
        <v>316</v>
      </c>
      <c r="H637" s="7">
        <f t="shared" si="9"/>
        <v>0.13783898138737552</v>
      </c>
    </row>
    <row r="638" spans="1:8" ht="14.25" customHeight="1">
      <c r="A638" s="3">
        <f>3</f>
        <v>3</v>
      </c>
      <c r="B638" s="3">
        <f>1</f>
        <v>1</v>
      </c>
      <c r="C638" s="1">
        <f>0</f>
        <v>0</v>
      </c>
      <c r="D638" s="1">
        <f>0</f>
        <v>0</v>
      </c>
      <c r="E638" s="1" t="s">
        <v>726</v>
      </c>
      <c r="F638" s="1"/>
      <c r="G638" s="5">
        <f>8.6296</f>
        <v>8.6296</v>
      </c>
      <c r="H638" s="7">
        <f t="shared" si="9"/>
        <v>0.0037642255499382776</v>
      </c>
    </row>
    <row r="639" spans="1:8" ht="14.25" customHeight="1">
      <c r="A639" s="3">
        <f>3</f>
        <v>3</v>
      </c>
      <c r="B639" s="3">
        <f>1</f>
        <v>1</v>
      </c>
      <c r="C639" s="1">
        <f>0</f>
        <v>0</v>
      </c>
      <c r="D639" s="1">
        <f>0</f>
        <v>0</v>
      </c>
      <c r="E639" s="1" t="s">
        <v>281</v>
      </c>
      <c r="F639" s="1"/>
      <c r="G639" s="5">
        <f>142.3333</f>
        <v>142.3333</v>
      </c>
      <c r="H639" s="7">
        <f t="shared" si="9"/>
        <v>0.06208568699210043</v>
      </c>
    </row>
    <row r="640" spans="1:8" ht="14.25" customHeight="1">
      <c r="A640" s="3">
        <f>3</f>
        <v>3</v>
      </c>
      <c r="B640" s="3">
        <f>1</f>
        <v>1</v>
      </c>
      <c r="C640" s="1">
        <f>0</f>
        <v>0</v>
      </c>
      <c r="D640" s="1">
        <f>0</f>
        <v>0</v>
      </c>
      <c r="E640" s="1" t="s">
        <v>1116</v>
      </c>
      <c r="F640" s="1"/>
      <c r="G640" s="5">
        <f>174.3981</f>
        <v>174.3981</v>
      </c>
      <c r="H640" s="7">
        <f t="shared" si="9"/>
        <v>0.07607233056928371</v>
      </c>
    </row>
    <row r="641" spans="1:8" ht="14.25" customHeight="1">
      <c r="A641" s="3">
        <f>3</f>
        <v>3</v>
      </c>
      <c r="B641" s="3">
        <f>1</f>
        <v>1</v>
      </c>
      <c r="C641" s="1">
        <f>0</f>
        <v>0</v>
      </c>
      <c r="D641" s="1">
        <f>0</f>
        <v>0</v>
      </c>
      <c r="E641" s="1" t="s">
        <v>750</v>
      </c>
      <c r="F641" s="1"/>
      <c r="G641" s="5">
        <f>470.0648</f>
        <v>470.0648</v>
      </c>
      <c r="H641" s="7">
        <f t="shared" si="9"/>
        <v>0.20504194056348227</v>
      </c>
    </row>
    <row r="642" spans="1:8" ht="14.25" customHeight="1">
      <c r="A642" s="3">
        <f>3</f>
        <v>3</v>
      </c>
      <c r="B642" s="3">
        <f>1</f>
        <v>1</v>
      </c>
      <c r="C642" s="1">
        <f>0</f>
        <v>0</v>
      </c>
      <c r="D642" s="1">
        <f>0</f>
        <v>0</v>
      </c>
      <c r="E642" s="1" t="s">
        <v>148</v>
      </c>
      <c r="F642" s="1"/>
      <c r="G642" s="5">
        <f>76.8977</f>
        <v>76.8977</v>
      </c>
      <c r="H642" s="7">
        <f aca="true" t="shared" si="10" ref="H642:H705">SUM(100/229253*G$1:G$65536)</f>
        <v>0.033542723541240466</v>
      </c>
    </row>
    <row r="643" spans="1:8" ht="14.25" customHeight="1">
      <c r="A643" s="3">
        <f>3</f>
        <v>3</v>
      </c>
      <c r="B643" s="3">
        <f>1</f>
        <v>1</v>
      </c>
      <c r="C643" s="1">
        <f>0</f>
        <v>0</v>
      </c>
      <c r="D643" s="1">
        <f>0</f>
        <v>0</v>
      </c>
      <c r="E643" s="1" t="s">
        <v>221</v>
      </c>
      <c r="F643" s="1"/>
      <c r="G643" s="5">
        <f>71.7593</f>
        <v>71.7593</v>
      </c>
      <c r="H643" s="7">
        <f t="shared" si="10"/>
        <v>0.03130135701604777</v>
      </c>
    </row>
    <row r="644" spans="1:8" ht="14.25" customHeight="1">
      <c r="A644" s="3">
        <f>3</f>
        <v>3</v>
      </c>
      <c r="B644" s="3">
        <f>1</f>
        <v>1</v>
      </c>
      <c r="C644" s="1">
        <f>0</f>
        <v>0</v>
      </c>
      <c r="D644" s="1">
        <f>0</f>
        <v>0</v>
      </c>
      <c r="E644" s="1" t="s">
        <v>901</v>
      </c>
      <c r="F644" s="1"/>
      <c r="G644" s="5">
        <f>238.6667</f>
        <v>238.6667</v>
      </c>
      <c r="H644" s="7">
        <f t="shared" si="10"/>
        <v>0.1041062494274884</v>
      </c>
    </row>
    <row r="645" spans="1:8" ht="14.25" customHeight="1">
      <c r="A645" s="3">
        <f>3</f>
        <v>3</v>
      </c>
      <c r="B645" s="3">
        <f>1</f>
        <v>1</v>
      </c>
      <c r="C645" s="1">
        <f>0</f>
        <v>0</v>
      </c>
      <c r="D645" s="1">
        <f>0</f>
        <v>0</v>
      </c>
      <c r="E645" s="1" t="s">
        <v>596</v>
      </c>
      <c r="F645" s="1"/>
      <c r="G645" s="5">
        <f>67.1429</f>
        <v>67.1429</v>
      </c>
      <c r="H645" s="7">
        <f t="shared" si="10"/>
        <v>0.029287686529729164</v>
      </c>
    </row>
    <row r="646" spans="1:8" ht="14.25" customHeight="1">
      <c r="A646" s="3">
        <f>3</f>
        <v>3</v>
      </c>
      <c r="B646" s="3">
        <f>1</f>
        <v>1</v>
      </c>
      <c r="C646" s="1">
        <f>0</f>
        <v>0</v>
      </c>
      <c r="D646" s="1">
        <f>0</f>
        <v>0</v>
      </c>
      <c r="E646" s="1" t="s">
        <v>1462</v>
      </c>
      <c r="F646" s="1"/>
      <c r="G646" s="5">
        <f>27.2917</f>
        <v>27.2917</v>
      </c>
      <c r="H646" s="7">
        <f t="shared" si="10"/>
        <v>0.011904620659271633</v>
      </c>
    </row>
    <row r="647" spans="1:8" ht="14.25" customHeight="1">
      <c r="A647" s="3">
        <f>3</f>
        <v>3</v>
      </c>
      <c r="B647" s="3">
        <f>1</f>
        <v>1</v>
      </c>
      <c r="C647" s="1">
        <f>0</f>
        <v>0</v>
      </c>
      <c r="D647" s="1">
        <f>0</f>
        <v>0</v>
      </c>
      <c r="E647" s="1" t="s">
        <v>615</v>
      </c>
      <c r="F647" s="1"/>
      <c r="G647" s="5">
        <f>67.1429</f>
        <v>67.1429</v>
      </c>
      <c r="H647" s="7">
        <f t="shared" si="10"/>
        <v>0.029287686529729164</v>
      </c>
    </row>
    <row r="648" spans="1:8" ht="14.25" customHeight="1">
      <c r="A648" s="3">
        <f>3</f>
        <v>3</v>
      </c>
      <c r="B648" s="3">
        <f>1</f>
        <v>1</v>
      </c>
      <c r="C648" s="1">
        <f>0</f>
        <v>0</v>
      </c>
      <c r="D648" s="1">
        <f>0</f>
        <v>0</v>
      </c>
      <c r="E648" s="1" t="s">
        <v>1420</v>
      </c>
      <c r="F648" s="1"/>
      <c r="G648" s="5">
        <f>27.2917</f>
        <v>27.2917</v>
      </c>
      <c r="H648" s="7">
        <f t="shared" si="10"/>
        <v>0.011904620659271633</v>
      </c>
    </row>
    <row r="649" spans="1:8" ht="14.25" customHeight="1">
      <c r="A649" s="3">
        <f>3</f>
        <v>3</v>
      </c>
      <c r="B649" s="3">
        <f>1</f>
        <v>1</v>
      </c>
      <c r="C649" s="1">
        <f>0</f>
        <v>0</v>
      </c>
      <c r="D649" s="1">
        <f>0</f>
        <v>0</v>
      </c>
      <c r="E649" s="1" t="s">
        <v>1198</v>
      </c>
      <c r="F649" s="1"/>
      <c r="G649" s="5">
        <f>115.625</f>
        <v>115.625</v>
      </c>
      <c r="H649" s="7">
        <f t="shared" si="10"/>
        <v>0.05043554500922561</v>
      </c>
    </row>
    <row r="650" spans="1:8" ht="14.25" customHeight="1">
      <c r="A650" s="3">
        <f>3</f>
        <v>3</v>
      </c>
      <c r="B650" s="3">
        <f>1</f>
        <v>1</v>
      </c>
      <c r="C650" s="1">
        <f>0</f>
        <v>0</v>
      </c>
      <c r="D650" s="1">
        <f>0</f>
        <v>0</v>
      </c>
      <c r="E650" s="1" t="s">
        <v>640</v>
      </c>
      <c r="F650" s="1"/>
      <c r="G650" s="5">
        <f>67.1429</f>
        <v>67.1429</v>
      </c>
      <c r="H650" s="7">
        <f t="shared" si="10"/>
        <v>0.029287686529729164</v>
      </c>
    </row>
    <row r="651" spans="1:8" ht="14.25" customHeight="1">
      <c r="A651" s="3">
        <f>3</f>
        <v>3</v>
      </c>
      <c r="B651" s="3">
        <f>1</f>
        <v>1</v>
      </c>
      <c r="C651" s="1">
        <f>0</f>
        <v>0</v>
      </c>
      <c r="D651" s="1">
        <f>0</f>
        <v>0</v>
      </c>
      <c r="E651" s="1" t="s">
        <v>1161</v>
      </c>
      <c r="F651" s="1"/>
      <c r="G651" s="5">
        <f>12.1333</f>
        <v>12.1333</v>
      </c>
      <c r="H651" s="7">
        <f t="shared" si="10"/>
        <v>0.005292537066036213</v>
      </c>
    </row>
    <row r="652" spans="1:8" ht="14.25" customHeight="1">
      <c r="A652" s="3">
        <f>0</f>
        <v>0</v>
      </c>
      <c r="B652" s="3">
        <f>1</f>
        <v>1</v>
      </c>
      <c r="C652" s="1">
        <f>0</f>
        <v>0</v>
      </c>
      <c r="D652" s="1">
        <f>0</f>
        <v>0</v>
      </c>
      <c r="E652" s="1" t="s">
        <v>984</v>
      </c>
      <c r="F652" s="1" t="s">
        <v>978</v>
      </c>
      <c r="G652" s="5">
        <f>36.6111</f>
        <v>36.6111</v>
      </c>
      <c r="H652" s="7">
        <f t="shared" si="10"/>
        <v>0.015969736491997923</v>
      </c>
    </row>
    <row r="653" spans="1:8" ht="14.25" customHeight="1">
      <c r="A653" s="3">
        <f>3</f>
        <v>3</v>
      </c>
      <c r="B653" s="3">
        <f>1</f>
        <v>1</v>
      </c>
      <c r="C653" s="1">
        <f>0</f>
        <v>0</v>
      </c>
      <c r="D653" s="1">
        <f>0</f>
        <v>0</v>
      </c>
      <c r="E653" s="1" t="s">
        <v>656</v>
      </c>
      <c r="F653" s="1"/>
      <c r="G653" s="5">
        <f>414</f>
        <v>414</v>
      </c>
      <c r="H653" s="7">
        <f t="shared" si="10"/>
        <v>0.18058651358978944</v>
      </c>
    </row>
    <row r="654" spans="1:8" ht="14.25" customHeight="1">
      <c r="A654" s="3">
        <f>3</f>
        <v>3</v>
      </c>
      <c r="B654" s="3">
        <f>1</f>
        <v>1</v>
      </c>
      <c r="C654" s="1">
        <f>0</f>
        <v>0</v>
      </c>
      <c r="D654" s="1">
        <f>0</f>
        <v>0</v>
      </c>
      <c r="E654" s="1" t="s">
        <v>1516</v>
      </c>
      <c r="F654" s="1"/>
      <c r="G654" s="5">
        <f>12.1333</f>
        <v>12.1333</v>
      </c>
      <c r="H654" s="7">
        <f t="shared" si="10"/>
        <v>0.005292537066036213</v>
      </c>
    </row>
    <row r="655" spans="1:8" ht="14.25" customHeight="1">
      <c r="A655" s="3">
        <f>0</f>
        <v>0</v>
      </c>
      <c r="B655" s="3">
        <f>1</f>
        <v>1</v>
      </c>
      <c r="C655" s="1">
        <f>0</f>
        <v>0</v>
      </c>
      <c r="D655" s="1">
        <f>0</f>
        <v>0</v>
      </c>
      <c r="E655" s="1" t="s">
        <v>924</v>
      </c>
      <c r="F655" s="1" t="s">
        <v>1448</v>
      </c>
      <c r="G655" s="5">
        <f>1364.5463</f>
        <v>1364.5463</v>
      </c>
      <c r="H655" s="7">
        <f t="shared" si="10"/>
        <v>0.5952141520503548</v>
      </c>
    </row>
    <row r="656" spans="1:8" ht="14.25" customHeight="1">
      <c r="A656" s="3">
        <f>3</f>
        <v>3</v>
      </c>
      <c r="B656" s="3">
        <f>1</f>
        <v>1</v>
      </c>
      <c r="C656" s="1">
        <f>0</f>
        <v>0</v>
      </c>
      <c r="D656" s="1">
        <f>0</f>
        <v>0</v>
      </c>
      <c r="E656" s="1" t="s">
        <v>677</v>
      </c>
      <c r="F656" s="1"/>
      <c r="G656" s="5">
        <f>170.8838</f>
        <v>170.8838</v>
      </c>
      <c r="H656" s="7">
        <f t="shared" si="10"/>
        <v>0.074539395340519</v>
      </c>
    </row>
    <row r="657" spans="1:8" ht="14.25" customHeight="1">
      <c r="A657" s="3">
        <f>3</f>
        <v>3</v>
      </c>
      <c r="B657" s="3">
        <f>1</f>
        <v>1</v>
      </c>
      <c r="C657" s="1">
        <f>0</f>
        <v>0</v>
      </c>
      <c r="D657" s="1">
        <f>0</f>
        <v>0</v>
      </c>
      <c r="E657" s="1" t="s">
        <v>751</v>
      </c>
      <c r="F657" s="1"/>
      <c r="G657" s="5">
        <f>11.5263</f>
        <v>11.5263</v>
      </c>
      <c r="H657" s="7">
        <f t="shared" si="10"/>
        <v>0.00502776408596616</v>
      </c>
    </row>
    <row r="658" spans="1:8" ht="14.25" customHeight="1">
      <c r="A658" s="3">
        <f>0</f>
        <v>0</v>
      </c>
      <c r="B658" s="3">
        <f>1</f>
        <v>1</v>
      </c>
      <c r="C658" s="1">
        <f>0</f>
        <v>0</v>
      </c>
      <c r="D658" s="1">
        <f>0</f>
        <v>0</v>
      </c>
      <c r="E658" s="1" t="s">
        <v>969</v>
      </c>
      <c r="F658" s="1" t="s">
        <v>951</v>
      </c>
      <c r="G658" s="5">
        <f>36.6111</f>
        <v>36.6111</v>
      </c>
      <c r="H658" s="7">
        <f t="shared" si="10"/>
        <v>0.015969736491997923</v>
      </c>
    </row>
    <row r="659" spans="1:8" ht="14.25" customHeight="1">
      <c r="A659" s="3">
        <f>3</f>
        <v>3</v>
      </c>
      <c r="B659" s="3">
        <f>1</f>
        <v>1</v>
      </c>
      <c r="C659" s="1">
        <f>0</f>
        <v>0</v>
      </c>
      <c r="D659" s="1">
        <f>0</f>
        <v>0</v>
      </c>
      <c r="E659" s="1" t="s">
        <v>665</v>
      </c>
      <c r="F659" s="1"/>
      <c r="G659" s="5">
        <f>196.6215</f>
        <v>196.6215</v>
      </c>
      <c r="H659" s="7">
        <f t="shared" si="10"/>
        <v>0.08576616227486662</v>
      </c>
    </row>
    <row r="660" spans="1:8" ht="14.25" customHeight="1">
      <c r="A660" s="3">
        <f>3</f>
        <v>3</v>
      </c>
      <c r="B660" s="3">
        <f>1</f>
        <v>1</v>
      </c>
      <c r="C660" s="1">
        <f>0</f>
        <v>0</v>
      </c>
      <c r="D660" s="1">
        <f>0</f>
        <v>0</v>
      </c>
      <c r="E660" s="1" t="s">
        <v>1335</v>
      </c>
      <c r="F660" s="1"/>
      <c r="G660" s="5">
        <f>216.8333</f>
        <v>216.8333</v>
      </c>
      <c r="H660" s="7">
        <f t="shared" si="10"/>
        <v>0.09458253545209877</v>
      </c>
    </row>
    <row r="661" spans="1:8" ht="14.25" customHeight="1">
      <c r="A661" s="3">
        <f>3</f>
        <v>3</v>
      </c>
      <c r="B661" s="3">
        <f>1</f>
        <v>1</v>
      </c>
      <c r="C661" s="1">
        <f>0</f>
        <v>0</v>
      </c>
      <c r="D661" s="1">
        <f>0</f>
        <v>0</v>
      </c>
      <c r="E661" s="1" t="s">
        <v>1276</v>
      </c>
      <c r="F661" s="1"/>
      <c r="G661" s="5">
        <f>12.1333</f>
        <v>12.1333</v>
      </c>
      <c r="H661" s="7">
        <f t="shared" si="10"/>
        <v>0.005292537066036213</v>
      </c>
    </row>
    <row r="662" spans="1:8" ht="14.25" customHeight="1">
      <c r="A662" s="3">
        <f>3</f>
        <v>3</v>
      </c>
      <c r="B662" s="3">
        <f>1</f>
        <v>1</v>
      </c>
      <c r="C662" s="1">
        <f>0</f>
        <v>0</v>
      </c>
      <c r="D662" s="1">
        <f>0</f>
        <v>0</v>
      </c>
      <c r="E662" s="1" t="s">
        <v>616</v>
      </c>
      <c r="F662" s="1"/>
      <c r="G662" s="5">
        <f>216.8333</f>
        <v>216.8333</v>
      </c>
      <c r="H662" s="7">
        <f t="shared" si="10"/>
        <v>0.09458253545209877</v>
      </c>
    </row>
    <row r="663" spans="1:8" ht="14.25" customHeight="1">
      <c r="A663" s="3">
        <f>0</f>
        <v>0</v>
      </c>
      <c r="B663" s="3">
        <f>1</f>
        <v>1</v>
      </c>
      <c r="C663" s="1">
        <f>0</f>
        <v>0</v>
      </c>
      <c r="D663" s="1">
        <f>0</f>
        <v>0</v>
      </c>
      <c r="E663" s="1" t="s">
        <v>1111</v>
      </c>
      <c r="F663" s="1" t="s">
        <v>1450</v>
      </c>
      <c r="G663" s="5">
        <f>1410</f>
        <v>1410</v>
      </c>
      <c r="H663" s="7">
        <f t="shared" si="10"/>
        <v>0.615041024544935</v>
      </c>
    </row>
    <row r="664" spans="1:8" ht="14.25" customHeight="1">
      <c r="A664" s="3">
        <f>3</f>
        <v>3</v>
      </c>
      <c r="B664" s="3">
        <f>1</f>
        <v>1</v>
      </c>
      <c r="C664" s="1">
        <f>0</f>
        <v>0</v>
      </c>
      <c r="D664" s="1">
        <f>0</f>
        <v>0</v>
      </c>
      <c r="E664" s="1" t="s">
        <v>943</v>
      </c>
      <c r="F664" s="1"/>
      <c r="G664" s="5">
        <f>107</f>
        <v>107</v>
      </c>
      <c r="H664" s="7">
        <f t="shared" si="10"/>
        <v>0.046673325976105004</v>
      </c>
    </row>
    <row r="665" spans="1:8" ht="14.25" customHeight="1">
      <c r="A665" s="3">
        <f>0</f>
        <v>0</v>
      </c>
      <c r="B665" s="3">
        <f>1</f>
        <v>1</v>
      </c>
      <c r="C665" s="1">
        <f>0</f>
        <v>0</v>
      </c>
      <c r="D665" s="1">
        <f>0</f>
        <v>0</v>
      </c>
      <c r="E665" s="1" t="s">
        <v>1016</v>
      </c>
      <c r="F665" s="1" t="s">
        <v>1354</v>
      </c>
      <c r="G665" s="5">
        <f>6.8421</f>
        <v>6.8421</v>
      </c>
      <c r="H665" s="7">
        <f t="shared" si="10"/>
        <v>0.0029845192865524117</v>
      </c>
    </row>
    <row r="666" spans="1:8" ht="14.25" customHeight="1">
      <c r="A666" s="3">
        <f>0</f>
        <v>0</v>
      </c>
      <c r="B666" s="3">
        <f>1</f>
        <v>1</v>
      </c>
      <c r="C666" s="1">
        <f>0</f>
        <v>0</v>
      </c>
      <c r="D666" s="1">
        <f>0</f>
        <v>0</v>
      </c>
      <c r="E666" s="1" t="s">
        <v>1294</v>
      </c>
      <c r="F666" s="1" t="s">
        <v>409</v>
      </c>
      <c r="G666" s="5">
        <f>1185.0864</f>
        <v>1185.0864</v>
      </c>
      <c r="H666" s="7">
        <f t="shared" si="10"/>
        <v>0.5169338678228855</v>
      </c>
    </row>
    <row r="667" spans="1:8" ht="14.25" customHeight="1">
      <c r="A667" s="3">
        <f>3</f>
        <v>3</v>
      </c>
      <c r="B667" s="3">
        <f>1</f>
        <v>1</v>
      </c>
      <c r="C667" s="1">
        <f>0</f>
        <v>0</v>
      </c>
      <c r="D667" s="1">
        <f>0</f>
        <v>0</v>
      </c>
      <c r="E667" s="1" t="s">
        <v>223</v>
      </c>
      <c r="F667" s="1"/>
      <c r="G667" s="5">
        <f>127.9934</f>
        <v>127.9934</v>
      </c>
      <c r="H667" s="7">
        <f t="shared" si="10"/>
        <v>0.055830632532616796</v>
      </c>
    </row>
    <row r="668" spans="1:8" ht="14.25" customHeight="1">
      <c r="A668" s="3">
        <f>3</f>
        <v>3</v>
      </c>
      <c r="B668" s="3">
        <f>1</f>
        <v>1</v>
      </c>
      <c r="C668" s="1">
        <f>0</f>
        <v>0</v>
      </c>
      <c r="D668" s="1">
        <f>0</f>
        <v>0</v>
      </c>
      <c r="E668" s="1" t="s">
        <v>79</v>
      </c>
      <c r="F668" s="1"/>
      <c r="G668" s="5">
        <f>55.9219</f>
        <v>55.9219</v>
      </c>
      <c r="H668" s="7">
        <f t="shared" si="10"/>
        <v>0.024393094092552768</v>
      </c>
    </row>
    <row r="669" spans="1:8" ht="14.25" customHeight="1">
      <c r="A669" s="3">
        <f>0</f>
        <v>0</v>
      </c>
      <c r="B669" s="3">
        <f>1</f>
        <v>1</v>
      </c>
      <c r="C669" s="1">
        <f>0</f>
        <v>0</v>
      </c>
      <c r="D669" s="1">
        <f>0</f>
        <v>0</v>
      </c>
      <c r="E669" s="1" t="s">
        <v>1302</v>
      </c>
      <c r="F669" s="1" t="s">
        <v>352</v>
      </c>
      <c r="G669" s="5">
        <f>55.3458</f>
        <v>55.3458</v>
      </c>
      <c r="H669" s="7">
        <f t="shared" si="10"/>
        <v>0.024141799671105718</v>
      </c>
    </row>
    <row r="670" spans="1:8" ht="14.25" customHeight="1">
      <c r="A670" s="3">
        <f>3</f>
        <v>3</v>
      </c>
      <c r="B670" s="3">
        <f>1</f>
        <v>1</v>
      </c>
      <c r="C670" s="1">
        <f>0</f>
        <v>0</v>
      </c>
      <c r="D670" s="1">
        <f>0</f>
        <v>0</v>
      </c>
      <c r="E670" s="1" t="s">
        <v>1038</v>
      </c>
      <c r="F670" s="1"/>
      <c r="G670" s="5">
        <f>31.6096</f>
        <v>31.6096</v>
      </c>
      <c r="H670" s="7">
        <f t="shared" si="10"/>
        <v>0.013788085652096155</v>
      </c>
    </row>
    <row r="671" spans="1:8" ht="14.25" customHeight="1">
      <c r="A671" s="3">
        <f>3</f>
        <v>3</v>
      </c>
      <c r="B671" s="3">
        <f>1</f>
        <v>1</v>
      </c>
      <c r="C671" s="1">
        <f>0</f>
        <v>0</v>
      </c>
      <c r="D671" s="1">
        <f>0</f>
        <v>0</v>
      </c>
      <c r="E671" s="1" t="s">
        <v>46</v>
      </c>
      <c r="F671" s="1"/>
      <c r="G671" s="5">
        <f>292.2622</f>
        <v>292.2622</v>
      </c>
      <c r="H671" s="7">
        <f t="shared" si="10"/>
        <v>0.12748456944947284</v>
      </c>
    </row>
    <row r="672" spans="1:8" ht="14.25" customHeight="1">
      <c r="A672" s="3">
        <f>3</f>
        <v>3</v>
      </c>
      <c r="B672" s="3">
        <f>1</f>
        <v>1</v>
      </c>
      <c r="C672" s="1">
        <f>0</f>
        <v>0</v>
      </c>
      <c r="D672" s="1">
        <f>0</f>
        <v>0</v>
      </c>
      <c r="E672" s="1" t="s">
        <v>224</v>
      </c>
      <c r="F672" s="1"/>
      <c r="G672" s="5">
        <f>1.875</f>
        <v>1.875</v>
      </c>
      <c r="H672" s="7">
        <f t="shared" si="10"/>
        <v>0.0008178737028523073</v>
      </c>
    </row>
    <row r="673" spans="1:8" ht="14.25" customHeight="1">
      <c r="A673" s="3">
        <f>3</f>
        <v>3</v>
      </c>
      <c r="B673" s="3">
        <f>1</f>
        <v>1</v>
      </c>
      <c r="C673" s="1">
        <f>0</f>
        <v>0</v>
      </c>
      <c r="D673" s="1">
        <f>0</f>
        <v>0</v>
      </c>
      <c r="E673" s="1" t="s">
        <v>540</v>
      </c>
      <c r="F673" s="1"/>
      <c r="G673" s="5">
        <f>12.1333</f>
        <v>12.1333</v>
      </c>
      <c r="H673" s="7">
        <f t="shared" si="10"/>
        <v>0.005292537066036213</v>
      </c>
    </row>
    <row r="674" spans="1:8" ht="14.25" customHeight="1">
      <c r="A674" s="3">
        <f>3</f>
        <v>3</v>
      </c>
      <c r="B674" s="3">
        <f>1</f>
        <v>1</v>
      </c>
      <c r="C674" s="1">
        <f>0</f>
        <v>0</v>
      </c>
      <c r="D674" s="1">
        <f>0</f>
        <v>0</v>
      </c>
      <c r="E674" s="1" t="s">
        <v>641</v>
      </c>
      <c r="F674" s="1"/>
      <c r="G674" s="5">
        <f>1.875</f>
        <v>1.875</v>
      </c>
      <c r="H674" s="7">
        <f t="shared" si="10"/>
        <v>0.0008178737028523073</v>
      </c>
    </row>
    <row r="675" spans="1:8" ht="14.25" customHeight="1">
      <c r="A675" s="3">
        <f>3</f>
        <v>3</v>
      </c>
      <c r="B675" s="3">
        <f>1</f>
        <v>1</v>
      </c>
      <c r="C675" s="1">
        <f>0</f>
        <v>0</v>
      </c>
      <c r="D675" s="1">
        <f>0</f>
        <v>0</v>
      </c>
      <c r="E675" s="1" t="s">
        <v>1172</v>
      </c>
      <c r="F675" s="1"/>
      <c r="G675" s="5">
        <f>1.375</f>
        <v>1.375</v>
      </c>
      <c r="H675" s="7">
        <f t="shared" si="10"/>
        <v>0.0005997740487583586</v>
      </c>
    </row>
    <row r="676" spans="1:8" ht="14.25" customHeight="1">
      <c r="A676" s="3">
        <f>0</f>
        <v>0</v>
      </c>
      <c r="B676" s="3">
        <f>1</f>
        <v>1</v>
      </c>
      <c r="C676" s="1">
        <f>0</f>
        <v>0</v>
      </c>
      <c r="D676" s="1">
        <f>0</f>
        <v>0</v>
      </c>
      <c r="E676" s="1" t="s">
        <v>530</v>
      </c>
      <c r="F676" s="1" t="s">
        <v>1268</v>
      </c>
      <c r="G676" s="5">
        <f>344</f>
        <v>344</v>
      </c>
      <c r="H676" s="7">
        <f t="shared" si="10"/>
        <v>0.15005256201663664</v>
      </c>
    </row>
    <row r="677" spans="1:8" ht="14.25" customHeight="1">
      <c r="A677" s="3">
        <f>3</f>
        <v>3</v>
      </c>
      <c r="B677" s="3">
        <f>1</f>
        <v>1</v>
      </c>
      <c r="C677" s="1">
        <f>0</f>
        <v>0</v>
      </c>
      <c r="D677" s="1">
        <f>0</f>
        <v>0</v>
      </c>
      <c r="E677" s="1" t="s">
        <v>597</v>
      </c>
      <c r="F677" s="1"/>
      <c r="G677" s="5">
        <f>67.1429</f>
        <v>67.1429</v>
      </c>
      <c r="H677" s="7">
        <f t="shared" si="10"/>
        <v>0.029287686529729164</v>
      </c>
    </row>
    <row r="678" spans="1:8" ht="14.25" customHeight="1">
      <c r="A678" s="3">
        <f>0</f>
        <v>0</v>
      </c>
      <c r="B678" s="3">
        <f>1</f>
        <v>1</v>
      </c>
      <c r="C678" s="1">
        <f>0</f>
        <v>0</v>
      </c>
      <c r="D678" s="1">
        <f>0</f>
        <v>0</v>
      </c>
      <c r="E678" s="1" t="s">
        <v>1149</v>
      </c>
      <c r="F678" s="1" t="s">
        <v>106</v>
      </c>
      <c r="G678" s="5">
        <f>145.5714</f>
        <v>145.5714</v>
      </c>
      <c r="H678" s="7">
        <f t="shared" si="10"/>
        <v>0.06349814397194366</v>
      </c>
    </row>
    <row r="679" spans="1:8" ht="14.25" customHeight="1">
      <c r="A679" s="3">
        <f>3</f>
        <v>3</v>
      </c>
      <c r="B679" s="3">
        <f>1</f>
        <v>1</v>
      </c>
      <c r="C679" s="1">
        <f>0</f>
        <v>0</v>
      </c>
      <c r="D679" s="1">
        <f>0</f>
        <v>0</v>
      </c>
      <c r="E679" s="1" t="s">
        <v>657</v>
      </c>
      <c r="F679" s="1"/>
      <c r="G679" s="5">
        <f>107</f>
        <v>107</v>
      </c>
      <c r="H679" s="7">
        <f t="shared" si="10"/>
        <v>0.046673325976105004</v>
      </c>
    </row>
    <row r="680" spans="1:8" ht="14.25" customHeight="1">
      <c r="A680" s="3">
        <f>0</f>
        <v>0</v>
      </c>
      <c r="B680" s="3">
        <f>1</f>
        <v>1</v>
      </c>
      <c r="C680" s="1">
        <f>0</f>
        <v>0</v>
      </c>
      <c r="D680" s="1">
        <f>0</f>
        <v>0</v>
      </c>
      <c r="E680" s="1" t="s">
        <v>985</v>
      </c>
      <c r="F680" s="1" t="s">
        <v>1492</v>
      </c>
      <c r="G680" s="5">
        <f>21.9167</f>
        <v>21.9167</v>
      </c>
      <c r="H680" s="7">
        <f t="shared" si="10"/>
        <v>0.009560049377761686</v>
      </c>
    </row>
    <row r="681" spans="1:8" ht="14.25" customHeight="1">
      <c r="A681" s="3">
        <f>3</f>
        <v>3</v>
      </c>
      <c r="B681" s="3">
        <f>1</f>
        <v>1</v>
      </c>
      <c r="C681" s="1">
        <f>0</f>
        <v>0</v>
      </c>
      <c r="D681" s="1">
        <f>0</f>
        <v>0</v>
      </c>
      <c r="E681" s="1" t="s">
        <v>970</v>
      </c>
      <c r="F681" s="1"/>
      <c r="G681" s="5">
        <f>20.2963</f>
        <v>20.2963</v>
      </c>
      <c r="H681" s="7">
        <f t="shared" si="10"/>
        <v>0.008853232018774018</v>
      </c>
    </row>
    <row r="682" spans="1:8" ht="14.25" customHeight="1">
      <c r="A682" s="3">
        <f>3</f>
        <v>3</v>
      </c>
      <c r="B682" s="3">
        <f>1</f>
        <v>1</v>
      </c>
      <c r="C682" s="1">
        <f>0</f>
        <v>0</v>
      </c>
      <c r="D682" s="1">
        <f>0</f>
        <v>0</v>
      </c>
      <c r="E682" s="1" t="s">
        <v>1311</v>
      </c>
      <c r="F682" s="1"/>
      <c r="G682" s="5">
        <f>46.375</f>
        <v>46.375</v>
      </c>
      <c r="H682" s="7">
        <f t="shared" si="10"/>
        <v>0.020228742917213733</v>
      </c>
    </row>
    <row r="683" spans="1:8" ht="14.25" customHeight="1">
      <c r="A683" s="3">
        <f>3</f>
        <v>3</v>
      </c>
      <c r="B683" s="3">
        <f>1</f>
        <v>1</v>
      </c>
      <c r="C683" s="1">
        <f>0</f>
        <v>0</v>
      </c>
      <c r="D683" s="1">
        <f>0</f>
        <v>0</v>
      </c>
      <c r="E683" s="1" t="s">
        <v>1185</v>
      </c>
      <c r="F683" s="1"/>
      <c r="G683" s="5">
        <f>43.4167</f>
        <v>43.4167</v>
      </c>
      <c r="H683" s="7">
        <f t="shared" si="10"/>
        <v>0.018938334503801477</v>
      </c>
    </row>
    <row r="684" spans="1:8" ht="14.25" customHeight="1">
      <c r="A684" s="3">
        <f>0</f>
        <v>0</v>
      </c>
      <c r="B684" s="3">
        <f>1</f>
        <v>1</v>
      </c>
      <c r="C684" s="1">
        <f>0</f>
        <v>0</v>
      </c>
      <c r="D684" s="1">
        <f>0</f>
        <v>0</v>
      </c>
      <c r="E684" s="1" t="s">
        <v>1226</v>
      </c>
      <c r="F684" s="1" t="s">
        <v>122</v>
      </c>
      <c r="G684" s="5">
        <f>309.7</f>
        <v>309.7</v>
      </c>
      <c r="H684" s="7">
        <f t="shared" si="10"/>
        <v>0.13509092574579176</v>
      </c>
    </row>
    <row r="685" spans="1:8" ht="14.25" customHeight="1">
      <c r="A685" s="3">
        <f>0</f>
        <v>0</v>
      </c>
      <c r="B685" s="3">
        <f>1</f>
        <v>1</v>
      </c>
      <c r="C685" s="1">
        <f>0</f>
        <v>0</v>
      </c>
      <c r="D685" s="1">
        <f>0</f>
        <v>0</v>
      </c>
      <c r="E685" s="1" t="s">
        <v>537</v>
      </c>
      <c r="F685" s="1" t="s">
        <v>240</v>
      </c>
      <c r="G685" s="5">
        <f>20.3</f>
        <v>20.3</v>
      </c>
      <c r="H685" s="7">
        <f t="shared" si="10"/>
        <v>0.008854845956214313</v>
      </c>
    </row>
    <row r="686" spans="1:8" ht="14.25" customHeight="1">
      <c r="A686" s="3">
        <f>3</f>
        <v>3</v>
      </c>
      <c r="B686" s="3">
        <f>1</f>
        <v>1</v>
      </c>
      <c r="C686" s="1">
        <f>0</f>
        <v>0</v>
      </c>
      <c r="D686" s="1">
        <f>0</f>
        <v>0</v>
      </c>
      <c r="E686" s="1" t="s">
        <v>1160</v>
      </c>
      <c r="F686" s="1"/>
      <c r="G686" s="5">
        <f>37</f>
        <v>37</v>
      </c>
      <c r="H686" s="7">
        <f t="shared" si="10"/>
        <v>0.016139374402952197</v>
      </c>
    </row>
    <row r="687" spans="1:8" ht="14.25" customHeight="1">
      <c r="A687" s="3">
        <f>3</f>
        <v>3</v>
      </c>
      <c r="B687" s="3">
        <f>1</f>
        <v>1</v>
      </c>
      <c r="C687" s="1">
        <f>0</f>
        <v>0</v>
      </c>
      <c r="D687" s="1">
        <f>0</f>
        <v>0</v>
      </c>
      <c r="E687" s="1" t="s">
        <v>727</v>
      </c>
      <c r="F687" s="1"/>
      <c r="G687" s="5">
        <f>209</f>
        <v>209</v>
      </c>
      <c r="H687" s="7">
        <f t="shared" si="10"/>
        <v>0.09116565541127052</v>
      </c>
    </row>
    <row r="688" spans="1:8" ht="14.25" customHeight="1">
      <c r="A688" s="3">
        <f>3</f>
        <v>3</v>
      </c>
      <c r="B688" s="3">
        <f>1</f>
        <v>1</v>
      </c>
      <c r="C688" s="1">
        <f>0</f>
        <v>0</v>
      </c>
      <c r="D688" s="1">
        <f>0</f>
        <v>0</v>
      </c>
      <c r="E688" s="1" t="s">
        <v>1551</v>
      </c>
      <c r="F688" s="1"/>
      <c r="G688" s="5">
        <f>18.5667</f>
        <v>18.5667</v>
      </c>
      <c r="H688" s="7">
        <f t="shared" si="10"/>
        <v>0.008098781695332232</v>
      </c>
    </row>
    <row r="689" spans="1:8" ht="14.25" customHeight="1">
      <c r="A689" s="3">
        <f>0</f>
        <v>0</v>
      </c>
      <c r="B689" s="3">
        <f>1</f>
        <v>1</v>
      </c>
      <c r="C689" s="1">
        <f>0</f>
        <v>0</v>
      </c>
      <c r="D689" s="1">
        <f>0</f>
        <v>0</v>
      </c>
      <c r="E689" s="1" t="s">
        <v>446</v>
      </c>
      <c r="F689" s="1" t="s">
        <v>1489</v>
      </c>
      <c r="G689" s="5">
        <f>209</f>
        <v>209</v>
      </c>
      <c r="H689" s="7">
        <f t="shared" si="10"/>
        <v>0.09116565541127052</v>
      </c>
    </row>
    <row r="690" spans="1:8" ht="14.25" customHeight="1">
      <c r="A690" s="3">
        <f>3</f>
        <v>3</v>
      </c>
      <c r="B690" s="3">
        <f>1</f>
        <v>1</v>
      </c>
      <c r="C690" s="1">
        <f>0</f>
        <v>0</v>
      </c>
      <c r="D690" s="1">
        <f>0</f>
        <v>0</v>
      </c>
      <c r="E690" s="1" t="s">
        <v>199</v>
      </c>
      <c r="F690" s="1"/>
      <c r="G690" s="5">
        <f>19.9167</f>
        <v>19.9167</v>
      </c>
      <c r="H690" s="7">
        <f t="shared" si="10"/>
        <v>0.008687650761385892</v>
      </c>
    </row>
    <row r="691" spans="1:8" ht="14.25" customHeight="1">
      <c r="A691" s="3">
        <f>0</f>
        <v>0</v>
      </c>
      <c r="B691" s="3">
        <f>1</f>
        <v>1</v>
      </c>
      <c r="C691" s="1">
        <f>0</f>
        <v>0</v>
      </c>
      <c r="D691" s="1">
        <f>0</f>
        <v>0</v>
      </c>
      <c r="E691" s="1" t="s">
        <v>303</v>
      </c>
      <c r="F691" s="1" t="s">
        <v>1127</v>
      </c>
      <c r="G691" s="5">
        <f>10.9167</f>
        <v>10.9167</v>
      </c>
      <c r="H691" s="7">
        <f t="shared" si="10"/>
        <v>0.0047618569876948175</v>
      </c>
    </row>
    <row r="692" spans="1:8" ht="14.25" customHeight="1">
      <c r="A692" s="3">
        <f>3</f>
        <v>3</v>
      </c>
      <c r="B692" s="3">
        <f>1</f>
        <v>1</v>
      </c>
      <c r="C692" s="1">
        <f>0</f>
        <v>0</v>
      </c>
      <c r="D692" s="1">
        <f>0</f>
        <v>0</v>
      </c>
      <c r="E692" s="1" t="s">
        <v>925</v>
      </c>
      <c r="F692" s="1"/>
      <c r="G692" s="5">
        <f>1.6979</f>
        <v>1.6979</v>
      </c>
      <c r="H692" s="7">
        <f t="shared" si="10"/>
        <v>0.0007406228053722306</v>
      </c>
    </row>
    <row r="693" spans="1:8" ht="14.25" customHeight="1">
      <c r="A693" s="3">
        <f>0</f>
        <v>0</v>
      </c>
      <c r="B693" s="3">
        <f>1</f>
        <v>1</v>
      </c>
      <c r="C693" s="1">
        <f>0</f>
        <v>0</v>
      </c>
      <c r="D693" s="1">
        <f>0</f>
        <v>0</v>
      </c>
      <c r="E693" s="1" t="s">
        <v>1463</v>
      </c>
      <c r="F693" s="1" t="s">
        <v>1352</v>
      </c>
      <c r="G693" s="5">
        <f>15.2813</f>
        <v>15.2813</v>
      </c>
      <c r="H693" s="7">
        <f t="shared" si="10"/>
        <v>0.006665692488211713</v>
      </c>
    </row>
    <row r="694" spans="1:8" ht="14.25" customHeight="1">
      <c r="A694" s="3">
        <f>3</f>
        <v>3</v>
      </c>
      <c r="B694" s="3">
        <f>1</f>
        <v>1</v>
      </c>
      <c r="C694" s="1">
        <f>0</f>
        <v>0</v>
      </c>
      <c r="D694" s="1">
        <f>0</f>
        <v>0</v>
      </c>
      <c r="E694" s="1" t="s">
        <v>701</v>
      </c>
      <c r="F694" s="1"/>
      <c r="G694" s="5">
        <f>328.5</f>
        <v>328.5</v>
      </c>
      <c r="H694" s="7">
        <f t="shared" si="10"/>
        <v>0.14329147273972423</v>
      </c>
    </row>
    <row r="695" spans="1:8" ht="14.25" customHeight="1">
      <c r="A695" s="3">
        <f>3</f>
        <v>3</v>
      </c>
      <c r="B695" s="3">
        <f>1</f>
        <v>1</v>
      </c>
      <c r="C695" s="1">
        <f>0</f>
        <v>0</v>
      </c>
      <c r="D695" s="1">
        <f>0</f>
        <v>0</v>
      </c>
      <c r="E695" s="1" t="s">
        <v>784</v>
      </c>
      <c r="F695" s="1"/>
      <c r="G695" s="5">
        <f>6.1753</f>
        <v>6.1753</v>
      </c>
      <c r="H695" s="7">
        <f t="shared" si="10"/>
        <v>0.0026936615878527218</v>
      </c>
    </row>
    <row r="696" spans="1:8" ht="14.25" customHeight="1">
      <c r="A696" s="3">
        <f>3</f>
        <v>3</v>
      </c>
      <c r="B696" s="3">
        <f>1</f>
        <v>1</v>
      </c>
      <c r="C696" s="1">
        <f>0</f>
        <v>0</v>
      </c>
      <c r="D696" s="1">
        <f>0</f>
        <v>0</v>
      </c>
      <c r="E696" s="1" t="s">
        <v>999</v>
      </c>
      <c r="F696" s="1"/>
      <c r="G696" s="5">
        <f>223.6667</f>
        <v>223.6667</v>
      </c>
      <c r="H696" s="7">
        <f t="shared" si="10"/>
        <v>0.09756325980466994</v>
      </c>
    </row>
    <row r="697" spans="1:8" ht="14.25" customHeight="1">
      <c r="A697" s="3">
        <f>3</f>
        <v>3</v>
      </c>
      <c r="B697" s="3">
        <f>1</f>
        <v>1</v>
      </c>
      <c r="C697" s="1">
        <f>0</f>
        <v>0</v>
      </c>
      <c r="D697" s="1">
        <f>0</f>
        <v>0</v>
      </c>
      <c r="E697" s="1" t="s">
        <v>225</v>
      </c>
      <c r="F697" s="1"/>
      <c r="G697" s="5">
        <f>348.1667</f>
        <v>348.1667</v>
      </c>
      <c r="H697" s="7">
        <f t="shared" si="10"/>
        <v>0.15187007367406313</v>
      </c>
    </row>
    <row r="698" spans="1:8" ht="14.25" customHeight="1">
      <c r="A698" s="3">
        <f>3</f>
        <v>3</v>
      </c>
      <c r="B698" s="3">
        <f>1</f>
        <v>1</v>
      </c>
      <c r="C698" s="1">
        <f>0</f>
        <v>0</v>
      </c>
      <c r="D698" s="1">
        <f>0</f>
        <v>0</v>
      </c>
      <c r="E698" s="1" t="s">
        <v>304</v>
      </c>
      <c r="F698" s="1"/>
      <c r="G698" s="5">
        <f>166.361</f>
        <v>166.361</v>
      </c>
      <c r="H698" s="7">
        <f t="shared" si="10"/>
        <v>0.07256655310944676</v>
      </c>
    </row>
    <row r="699" spans="1:8" ht="14.25" customHeight="1">
      <c r="A699" s="3">
        <f>3</f>
        <v>3</v>
      </c>
      <c r="B699" s="3">
        <f>1</f>
        <v>1</v>
      </c>
      <c r="C699" s="1">
        <f>0</f>
        <v>0</v>
      </c>
      <c r="D699" s="1">
        <f>0</f>
        <v>0</v>
      </c>
      <c r="E699" s="1" t="s">
        <v>99</v>
      </c>
      <c r="F699" s="1"/>
      <c r="G699" s="5">
        <f>121.5</f>
        <v>121.5</v>
      </c>
      <c r="H699" s="7">
        <f t="shared" si="10"/>
        <v>0.05299821594482951</v>
      </c>
    </row>
    <row r="700" spans="1:8" ht="14.25" customHeight="1">
      <c r="A700" s="3">
        <f>3</f>
        <v>3</v>
      </c>
      <c r="B700" s="3">
        <f>1</f>
        <v>1</v>
      </c>
      <c r="C700" s="1">
        <f>0</f>
        <v>0</v>
      </c>
      <c r="D700" s="1">
        <f>0</f>
        <v>0</v>
      </c>
      <c r="E700" s="1" t="s">
        <v>5</v>
      </c>
      <c r="F700" s="1"/>
      <c r="G700" s="5">
        <f>178.1667</f>
        <v>178.1667</v>
      </c>
      <c r="H700" s="7">
        <f t="shared" si="10"/>
        <v>0.07771619128212062</v>
      </c>
    </row>
    <row r="701" spans="1:8" ht="14.25" customHeight="1">
      <c r="A701" s="3">
        <f>0</f>
        <v>0</v>
      </c>
      <c r="B701" s="3">
        <f>1</f>
        <v>1</v>
      </c>
      <c r="C701" s="1">
        <f>0</f>
        <v>0</v>
      </c>
      <c r="D701" s="1">
        <f>0</f>
        <v>0</v>
      </c>
      <c r="E701" s="1" t="s">
        <v>796</v>
      </c>
      <c r="F701" s="1" t="s">
        <v>134</v>
      </c>
      <c r="G701" s="5">
        <f>67.6667</f>
        <v>67.6667</v>
      </c>
      <c r="H701" s="7">
        <f t="shared" si="10"/>
        <v>0.029516167727357986</v>
      </c>
    </row>
    <row r="702" spans="1:8" ht="14.25" customHeight="1">
      <c r="A702" s="3">
        <f>3</f>
        <v>3</v>
      </c>
      <c r="B702" s="3">
        <f>1</f>
        <v>1</v>
      </c>
      <c r="C702" s="1">
        <f>0</f>
        <v>0</v>
      </c>
      <c r="D702" s="1">
        <f>0</f>
        <v>0</v>
      </c>
      <c r="E702" s="1" t="s">
        <v>843</v>
      </c>
      <c r="F702" s="1"/>
      <c r="G702" s="5">
        <f>141.3333</f>
        <v>141.3333</v>
      </c>
      <c r="H702" s="7">
        <f t="shared" si="10"/>
        <v>0.061649487683912534</v>
      </c>
    </row>
    <row r="703" spans="1:8" ht="14.25" customHeight="1">
      <c r="A703" s="3">
        <f>3</f>
        <v>3</v>
      </c>
      <c r="B703" s="3">
        <f>1</f>
        <v>1</v>
      </c>
      <c r="C703" s="1">
        <f>0</f>
        <v>0</v>
      </c>
      <c r="D703" s="1">
        <f>0</f>
        <v>0</v>
      </c>
      <c r="E703" s="1" t="s">
        <v>226</v>
      </c>
      <c r="F703" s="1"/>
      <c r="G703" s="5">
        <f>10.1357</f>
        <v>10.1357</v>
      </c>
      <c r="H703" s="7">
        <f t="shared" si="10"/>
        <v>0.00442118532800007</v>
      </c>
    </row>
    <row r="704" spans="1:8" ht="14.25" customHeight="1">
      <c r="A704" s="3">
        <f>0</f>
        <v>0</v>
      </c>
      <c r="B704" s="3">
        <f>1</f>
        <v>1</v>
      </c>
      <c r="C704" s="1">
        <f>0</f>
        <v>0</v>
      </c>
      <c r="D704" s="1">
        <f>0</f>
        <v>0</v>
      </c>
      <c r="E704" s="1" t="s">
        <v>1295</v>
      </c>
      <c r="F704" s="1" t="s">
        <v>159</v>
      </c>
      <c r="G704" s="5">
        <f>4.7917</f>
        <v>4.7917</v>
      </c>
      <c r="H704" s="7">
        <f t="shared" si="10"/>
        <v>0.002090136225043947</v>
      </c>
    </row>
    <row r="705" spans="1:8" ht="14.25" customHeight="1">
      <c r="A705" s="3">
        <f>0</f>
        <v>0</v>
      </c>
      <c r="B705" s="3">
        <f>1</f>
        <v>1</v>
      </c>
      <c r="C705" s="1">
        <f>0</f>
        <v>0</v>
      </c>
      <c r="D705" s="1">
        <f>0</f>
        <v>0</v>
      </c>
      <c r="E705" s="1" t="s">
        <v>1260</v>
      </c>
      <c r="F705" s="1" t="s">
        <v>1531</v>
      </c>
      <c r="G705" s="5">
        <f>28</f>
        <v>28</v>
      </c>
      <c r="H705" s="7">
        <f t="shared" si="10"/>
        <v>0.012213580629261122</v>
      </c>
    </row>
    <row r="706" spans="1:8" ht="14.25" customHeight="1">
      <c r="A706" s="3">
        <f>3</f>
        <v>3</v>
      </c>
      <c r="B706" s="3">
        <f>1</f>
        <v>1</v>
      </c>
      <c r="C706" s="1">
        <f>0</f>
        <v>0</v>
      </c>
      <c r="D706" s="1">
        <f>0</f>
        <v>0</v>
      </c>
      <c r="E706" s="1" t="s">
        <v>560</v>
      </c>
      <c r="F706" s="1"/>
      <c r="G706" s="5">
        <f>77.625</f>
        <v>77.625</v>
      </c>
      <c r="H706" s="7">
        <f aca="true" t="shared" si="11" ref="H706:H769">SUM(100/229253*G$1:G$65536)</f>
        <v>0.03385997129808552</v>
      </c>
    </row>
    <row r="707" spans="1:8" ht="14.25" customHeight="1">
      <c r="A707" s="3">
        <f>3</f>
        <v>3</v>
      </c>
      <c r="B707" s="3">
        <f>1</f>
        <v>1</v>
      </c>
      <c r="C707" s="1">
        <f>0</f>
        <v>0</v>
      </c>
      <c r="D707" s="1">
        <f>0</f>
        <v>0</v>
      </c>
      <c r="E707" s="1" t="s">
        <v>617</v>
      </c>
      <c r="F707" s="1"/>
      <c r="G707" s="5">
        <f>362.2917</f>
        <v>362.2917</v>
      </c>
      <c r="H707" s="7">
        <f t="shared" si="11"/>
        <v>0.15803138890221718</v>
      </c>
    </row>
    <row r="708" spans="1:8" ht="14.25" customHeight="1">
      <c r="A708" s="3">
        <f>3</f>
        <v>3</v>
      </c>
      <c r="B708" s="3">
        <f>1</f>
        <v>1</v>
      </c>
      <c r="C708" s="1">
        <f>0</f>
        <v>0</v>
      </c>
      <c r="D708" s="1">
        <f>0</f>
        <v>0</v>
      </c>
      <c r="E708" s="1" t="s">
        <v>678</v>
      </c>
      <c r="F708" s="1"/>
      <c r="G708" s="5">
        <f>426.6222</f>
        <v>426.6222</v>
      </c>
      <c r="H708" s="7">
        <f t="shared" si="11"/>
        <v>0.18609230849759872</v>
      </c>
    </row>
    <row r="709" spans="1:8" ht="14.25" customHeight="1">
      <c r="A709" s="3">
        <f>3</f>
        <v>3</v>
      </c>
      <c r="B709" s="3">
        <f>1</f>
        <v>1</v>
      </c>
      <c r="C709" s="1">
        <f>0</f>
        <v>0</v>
      </c>
      <c r="D709" s="1">
        <f>0</f>
        <v>0</v>
      </c>
      <c r="E709" s="1" t="s">
        <v>561</v>
      </c>
      <c r="F709" s="1"/>
      <c r="G709" s="5">
        <f>156</f>
        <v>156</v>
      </c>
      <c r="H709" s="7">
        <f t="shared" si="11"/>
        <v>0.06804709207731197</v>
      </c>
    </row>
    <row r="710" spans="1:8" ht="14.25" customHeight="1">
      <c r="A710" s="3">
        <f>0</f>
        <v>0</v>
      </c>
      <c r="B710" s="3">
        <f>1</f>
        <v>1</v>
      </c>
      <c r="C710" s="1">
        <f>0</f>
        <v>0</v>
      </c>
      <c r="D710" s="1">
        <f>0</f>
        <v>0</v>
      </c>
      <c r="E710" s="1" t="s">
        <v>817</v>
      </c>
      <c r="F710" s="1" t="s">
        <v>1395</v>
      </c>
      <c r="G710" s="5">
        <f>159</f>
        <v>159</v>
      </c>
      <c r="H710" s="7">
        <f t="shared" si="11"/>
        <v>0.06935569000187565</v>
      </c>
    </row>
    <row r="711" spans="1:8" ht="14.25" customHeight="1">
      <c r="A711" s="3">
        <f>0</f>
        <v>0</v>
      </c>
      <c r="B711" s="3">
        <f>1</f>
        <v>1</v>
      </c>
      <c r="C711" s="1">
        <f>0</f>
        <v>0</v>
      </c>
      <c r="D711" s="1">
        <f>0</f>
        <v>0</v>
      </c>
      <c r="E711" s="1" t="s">
        <v>817</v>
      </c>
      <c r="F711" s="1" t="s">
        <v>1395</v>
      </c>
      <c r="G711" s="5">
        <f>3433.1062</f>
        <v>3433.1062</v>
      </c>
      <c r="H711" s="7">
        <f t="shared" si="11"/>
        <v>1.4975185493755807</v>
      </c>
    </row>
    <row r="712" spans="1:8" ht="14.25" customHeight="1">
      <c r="A712" s="3">
        <f>0</f>
        <v>0</v>
      </c>
      <c r="B712" s="3">
        <f>1</f>
        <v>1</v>
      </c>
      <c r="C712" s="1">
        <f>0</f>
        <v>0</v>
      </c>
      <c r="D712" s="1">
        <f>0</f>
        <v>0</v>
      </c>
      <c r="E712" s="1" t="s">
        <v>902</v>
      </c>
      <c r="F712" s="1" t="s">
        <v>1484</v>
      </c>
      <c r="G712" s="5">
        <f>420.583</f>
        <v>420.583</v>
      </c>
      <c r="H712" s="7">
        <f t="shared" si="11"/>
        <v>0.1834580136355904</v>
      </c>
    </row>
    <row r="713" spans="1:8" ht="14.25" customHeight="1">
      <c r="A713" s="3">
        <f>3</f>
        <v>3</v>
      </c>
      <c r="B713" s="3">
        <f>1</f>
        <v>1</v>
      </c>
      <c r="C713" s="1">
        <f>0</f>
        <v>0</v>
      </c>
      <c r="D713" s="1">
        <f>0</f>
        <v>0</v>
      </c>
      <c r="E713" s="1" t="s">
        <v>562</v>
      </c>
      <c r="F713" s="1"/>
      <c r="G713" s="5">
        <f>48.6497</f>
        <v>48.6497</v>
      </c>
      <c r="H713" s="7">
        <f t="shared" si="11"/>
        <v>0.021220965483548744</v>
      </c>
    </row>
    <row r="714" spans="1:8" ht="14.25" customHeight="1">
      <c r="A714" s="3">
        <f>3</f>
        <v>3</v>
      </c>
      <c r="B714" s="3">
        <f>1</f>
        <v>1</v>
      </c>
      <c r="C714" s="1">
        <f>0</f>
        <v>0</v>
      </c>
      <c r="D714" s="1">
        <f>0</f>
        <v>0</v>
      </c>
      <c r="E714" s="1" t="s">
        <v>752</v>
      </c>
      <c r="F714" s="1"/>
      <c r="G714" s="5">
        <f>77.625</f>
        <v>77.625</v>
      </c>
      <c r="H714" s="7">
        <f t="shared" si="11"/>
        <v>0.03385997129808552</v>
      </c>
    </row>
    <row r="715" spans="1:8" ht="14.25" customHeight="1">
      <c r="A715" s="3">
        <f>3</f>
        <v>3</v>
      </c>
      <c r="B715" s="3">
        <f>1</f>
        <v>1</v>
      </c>
      <c r="C715" s="1">
        <f>0</f>
        <v>0</v>
      </c>
      <c r="D715" s="1">
        <f>0</f>
        <v>0</v>
      </c>
      <c r="E715" s="1" t="s">
        <v>737</v>
      </c>
      <c r="F715" s="1"/>
      <c r="G715" s="5">
        <f>79.8</f>
        <v>79.8</v>
      </c>
      <c r="H715" s="7">
        <f t="shared" si="11"/>
        <v>0.03480870479339419</v>
      </c>
    </row>
    <row r="716" spans="1:8" ht="14.25" customHeight="1">
      <c r="A716" s="3">
        <f>3</f>
        <v>3</v>
      </c>
      <c r="B716" s="3">
        <f>1</f>
        <v>1</v>
      </c>
      <c r="C716" s="1">
        <f>0</f>
        <v>0</v>
      </c>
      <c r="D716" s="1">
        <f>0</f>
        <v>0</v>
      </c>
      <c r="E716" s="1" t="s">
        <v>728</v>
      </c>
      <c r="F716" s="1"/>
      <c r="G716" s="5">
        <f>795</f>
        <v>795</v>
      </c>
      <c r="H716" s="7">
        <f t="shared" si="11"/>
        <v>0.3467784500093783</v>
      </c>
    </row>
    <row r="717" spans="1:8" ht="14.25" customHeight="1">
      <c r="A717" s="3">
        <f>3</f>
        <v>3</v>
      </c>
      <c r="B717" s="3">
        <f>1</f>
        <v>1</v>
      </c>
      <c r="C717" s="1">
        <f>0</f>
        <v>0</v>
      </c>
      <c r="D717" s="1">
        <f>0</f>
        <v>0</v>
      </c>
      <c r="E717" s="1" t="s">
        <v>1173</v>
      </c>
      <c r="F717" s="1"/>
      <c r="G717" s="5">
        <f>39.05</f>
        <v>39.05</v>
      </c>
      <c r="H717" s="7">
        <f t="shared" si="11"/>
        <v>0.017033582984737384</v>
      </c>
    </row>
    <row r="718" spans="1:8" ht="14.25" customHeight="1">
      <c r="A718" s="3">
        <f>3</f>
        <v>3</v>
      </c>
      <c r="B718" s="3">
        <f>1</f>
        <v>1</v>
      </c>
      <c r="C718" s="1">
        <f>0</f>
        <v>0</v>
      </c>
      <c r="D718" s="1">
        <f>0</f>
        <v>0</v>
      </c>
      <c r="E718" s="1" t="s">
        <v>100</v>
      </c>
      <c r="F718" s="1"/>
      <c r="G718" s="5">
        <f>301.4167</f>
        <v>301.4167</v>
      </c>
      <c r="H718" s="7">
        <f t="shared" si="11"/>
        <v>0.13147775601627895</v>
      </c>
    </row>
    <row r="719" spans="1:8" ht="14.25" customHeight="1">
      <c r="A719" s="3">
        <f>0</f>
        <v>0</v>
      </c>
      <c r="B719" s="3">
        <f>1</f>
        <v>1</v>
      </c>
      <c r="C719" s="1">
        <f>0</f>
        <v>0</v>
      </c>
      <c r="D719" s="1">
        <f>0</f>
        <v>0</v>
      </c>
      <c r="E719" s="1" t="s">
        <v>251</v>
      </c>
      <c r="F719" s="1" t="s">
        <v>401</v>
      </c>
      <c r="G719" s="5">
        <f>983.4856</f>
        <v>983.4856</v>
      </c>
      <c r="H719" s="7">
        <f t="shared" si="11"/>
        <v>0.428995738332759</v>
      </c>
    </row>
    <row r="720" spans="1:8" ht="14.25" customHeight="1">
      <c r="A720" s="3">
        <f>3</f>
        <v>3</v>
      </c>
      <c r="B720" s="3">
        <f>1</f>
        <v>1</v>
      </c>
      <c r="C720" s="1">
        <f>0</f>
        <v>0</v>
      </c>
      <c r="D720" s="1">
        <f>0</f>
        <v>0</v>
      </c>
      <c r="E720" s="1" t="s">
        <v>1071</v>
      </c>
      <c r="F720" s="1"/>
      <c r="G720" s="5">
        <f>239.8333</f>
        <v>239.8333</v>
      </c>
      <c r="H720" s="7">
        <f t="shared" si="11"/>
        <v>0.10461511954042041</v>
      </c>
    </row>
    <row r="721" spans="1:8" ht="14.25" customHeight="1">
      <c r="A721" s="3">
        <f>3</f>
        <v>3</v>
      </c>
      <c r="B721" s="3">
        <f>1</f>
        <v>1</v>
      </c>
      <c r="C721" s="1">
        <f>0</f>
        <v>0</v>
      </c>
      <c r="D721" s="1">
        <f>0</f>
        <v>0</v>
      </c>
      <c r="E721" s="1" t="s">
        <v>1112</v>
      </c>
      <c r="F721" s="1"/>
      <c r="G721" s="5">
        <f>80.1071</f>
        <v>80.1071</v>
      </c>
      <c r="H721" s="7">
        <f t="shared" si="11"/>
        <v>0.0349426616009387</v>
      </c>
    </row>
    <row r="722" spans="1:8" ht="14.25" customHeight="1">
      <c r="A722" s="3">
        <f>3</f>
        <v>3</v>
      </c>
      <c r="B722" s="3">
        <f>1</f>
        <v>1</v>
      </c>
      <c r="C722" s="1">
        <f>0</f>
        <v>0</v>
      </c>
      <c r="D722" s="1">
        <f>0</f>
        <v>0</v>
      </c>
      <c r="E722" s="1" t="s">
        <v>598</v>
      </c>
      <c r="F722" s="1"/>
      <c r="G722" s="5">
        <f>1.9028</f>
        <v>1.9028</v>
      </c>
      <c r="H722" s="7">
        <f t="shared" si="11"/>
        <v>0.0008300000436199308</v>
      </c>
    </row>
    <row r="723" spans="1:8" ht="14.25" customHeight="1">
      <c r="A723" s="3">
        <f>3</f>
        <v>3</v>
      </c>
      <c r="B723" s="3">
        <f>1</f>
        <v>1</v>
      </c>
      <c r="C723" s="1">
        <f>0</f>
        <v>0</v>
      </c>
      <c r="D723" s="1">
        <f>0</f>
        <v>0</v>
      </c>
      <c r="E723" s="1" t="s">
        <v>986</v>
      </c>
      <c r="F723" s="1"/>
      <c r="G723" s="5">
        <f>103.6802</f>
        <v>103.6802</v>
      </c>
      <c r="H723" s="7">
        <f t="shared" si="11"/>
        <v>0.04522523151278282</v>
      </c>
    </row>
    <row r="724" spans="1:8" ht="14.25" customHeight="1">
      <c r="A724" s="3">
        <f>3</f>
        <v>3</v>
      </c>
      <c r="B724" s="3">
        <f>1</f>
        <v>1</v>
      </c>
      <c r="C724" s="1">
        <f>0</f>
        <v>0</v>
      </c>
      <c r="D724" s="1">
        <f>0</f>
        <v>0</v>
      </c>
      <c r="E724" s="1" t="s">
        <v>971</v>
      </c>
      <c r="F724" s="1"/>
      <c r="G724" s="5">
        <f>8.4167</f>
        <v>8.4167</v>
      </c>
      <c r="H724" s="7">
        <f t="shared" si="11"/>
        <v>0.0036713587172250745</v>
      </c>
    </row>
    <row r="725" spans="1:8" ht="14.25" customHeight="1">
      <c r="A725" s="3">
        <f>3</f>
        <v>3</v>
      </c>
      <c r="B725" s="3">
        <f>1</f>
        <v>1</v>
      </c>
      <c r="C725" s="1">
        <f>0</f>
        <v>0</v>
      </c>
      <c r="D725" s="1">
        <f>0</f>
        <v>0</v>
      </c>
      <c r="E725" s="1" t="s">
        <v>618</v>
      </c>
      <c r="F725" s="1"/>
      <c r="G725" s="5">
        <f>15.2222</f>
        <v>15.2222</v>
      </c>
      <c r="H725" s="7">
        <f t="shared" si="11"/>
        <v>0.006639913109097809</v>
      </c>
    </row>
    <row r="726" spans="1:8" ht="14.25" customHeight="1">
      <c r="A726" s="3">
        <f>3</f>
        <v>3</v>
      </c>
      <c r="B726" s="3">
        <f>1</f>
        <v>1</v>
      </c>
      <c r="C726" s="1">
        <f>0</f>
        <v>0</v>
      </c>
      <c r="D726" s="1">
        <f>0</f>
        <v>0</v>
      </c>
      <c r="E726" s="1" t="s">
        <v>252</v>
      </c>
      <c r="F726" s="1"/>
      <c r="G726" s="5">
        <f>153</f>
        <v>153</v>
      </c>
      <c r="H726" s="7">
        <f t="shared" si="11"/>
        <v>0.06673849415274827</v>
      </c>
    </row>
    <row r="727" spans="1:8" ht="14.25" customHeight="1">
      <c r="A727" s="3">
        <f>0</f>
        <v>0</v>
      </c>
      <c r="B727" s="3">
        <f>2</f>
        <v>2</v>
      </c>
      <c r="C727" s="1">
        <f>0</f>
        <v>0</v>
      </c>
      <c r="D727" s="1">
        <f>0</f>
        <v>0</v>
      </c>
      <c r="E727" s="1" t="s">
        <v>538</v>
      </c>
      <c r="F727" s="1" t="s">
        <v>1479</v>
      </c>
      <c r="G727" s="5">
        <f>56.1667</f>
        <v>56.1667</v>
      </c>
      <c r="H727" s="7">
        <f t="shared" si="11"/>
        <v>0.024499875683197166</v>
      </c>
    </row>
    <row r="728" spans="1:8" ht="14.25" customHeight="1">
      <c r="A728" s="3">
        <f>3</f>
        <v>3</v>
      </c>
      <c r="B728" s="3">
        <f>1</f>
        <v>1</v>
      </c>
      <c r="C728" s="1">
        <f>0</f>
        <v>0</v>
      </c>
      <c r="D728" s="1">
        <f>0</f>
        <v>0</v>
      </c>
      <c r="E728" s="1" t="s">
        <v>1552</v>
      </c>
      <c r="F728" s="1"/>
      <c r="G728" s="5">
        <f>731.033</f>
        <v>731.033</v>
      </c>
      <c r="H728" s="7">
        <f t="shared" si="11"/>
        <v>0.31887608886252305</v>
      </c>
    </row>
    <row r="729" spans="1:8" ht="14.25" customHeight="1">
      <c r="A729" s="3">
        <f>3</f>
        <v>3</v>
      </c>
      <c r="B729" s="3">
        <f>1</f>
        <v>1</v>
      </c>
      <c r="C729" s="1">
        <f>0</f>
        <v>0</v>
      </c>
      <c r="D729" s="1">
        <f>0</f>
        <v>0</v>
      </c>
      <c r="E729" s="1" t="s">
        <v>1117</v>
      </c>
      <c r="F729" s="1"/>
      <c r="G729" s="5">
        <f>2.6</f>
        <v>2.6</v>
      </c>
      <c r="H729" s="7">
        <f t="shared" si="11"/>
        <v>0.0011341182012885329</v>
      </c>
    </row>
    <row r="730" spans="1:8" ht="14.25" customHeight="1">
      <c r="A730" s="3">
        <f>0</f>
        <v>0</v>
      </c>
      <c r="B730" s="3">
        <f>1</f>
        <v>1</v>
      </c>
      <c r="C730" s="1">
        <f>0</f>
        <v>0</v>
      </c>
      <c r="D730" s="1">
        <f>0</f>
        <v>0</v>
      </c>
      <c r="E730" s="1" t="s">
        <v>1464</v>
      </c>
      <c r="F730" s="1" t="s">
        <v>1026</v>
      </c>
      <c r="G730" s="5">
        <f>1014.375</f>
        <v>1014.375</v>
      </c>
      <c r="H730" s="7">
        <f t="shared" si="11"/>
        <v>0.4424696732430982</v>
      </c>
    </row>
    <row r="731" spans="1:8" ht="14.25" customHeight="1">
      <c r="A731" s="3">
        <f>3</f>
        <v>3</v>
      </c>
      <c r="B731" s="3">
        <f>1</f>
        <v>1</v>
      </c>
      <c r="C731" s="1">
        <f>0</f>
        <v>0</v>
      </c>
      <c r="D731" s="1">
        <f>0</f>
        <v>0</v>
      </c>
      <c r="E731" s="1" t="s">
        <v>1048</v>
      </c>
      <c r="F731" s="1"/>
      <c r="G731" s="5">
        <f>400.25</f>
        <v>400.25</v>
      </c>
      <c r="H731" s="7">
        <f t="shared" si="11"/>
        <v>0.17458877310220586</v>
      </c>
    </row>
    <row r="732" spans="1:8" ht="14.25" customHeight="1">
      <c r="A732" s="3">
        <f>3</f>
        <v>3</v>
      </c>
      <c r="B732" s="3">
        <f>1</f>
        <v>1</v>
      </c>
      <c r="C732" s="1">
        <f>0</f>
        <v>0</v>
      </c>
      <c r="D732" s="1">
        <f>0</f>
        <v>0</v>
      </c>
      <c r="E732" s="1" t="s">
        <v>305</v>
      </c>
      <c r="F732" s="1"/>
      <c r="G732" s="5">
        <f>400.25</f>
        <v>400.25</v>
      </c>
      <c r="H732" s="7">
        <f t="shared" si="11"/>
        <v>0.17458877310220586</v>
      </c>
    </row>
    <row r="733" spans="1:8" ht="14.25" customHeight="1">
      <c r="A733" s="3">
        <f>3</f>
        <v>3</v>
      </c>
      <c r="B733" s="3">
        <f>1</f>
        <v>1</v>
      </c>
      <c r="C733" s="1">
        <f>0</f>
        <v>0</v>
      </c>
      <c r="D733" s="1">
        <f>0</f>
        <v>0</v>
      </c>
      <c r="E733" s="1" t="s">
        <v>1365</v>
      </c>
      <c r="F733" s="1"/>
      <c r="G733" s="5">
        <f>202</f>
        <v>202</v>
      </c>
      <c r="H733" s="7">
        <f t="shared" si="11"/>
        <v>0.08811226025395523</v>
      </c>
    </row>
    <row r="734" spans="1:8" ht="14.25" customHeight="1">
      <c r="A734" s="3">
        <f>3</f>
        <v>3</v>
      </c>
      <c r="B734" s="3">
        <f>1</f>
        <v>1</v>
      </c>
      <c r="C734" s="1">
        <f>0</f>
        <v>0</v>
      </c>
      <c r="D734" s="1">
        <f>0</f>
        <v>0</v>
      </c>
      <c r="E734" s="1" t="s">
        <v>126</v>
      </c>
      <c r="F734" s="1"/>
      <c r="G734" s="5">
        <f>38.6667</f>
        <v>38.6667</v>
      </c>
      <c r="H734" s="7">
        <f t="shared" si="11"/>
        <v>0.016866387789908965</v>
      </c>
    </row>
    <row r="735" spans="1:8" ht="14.25" customHeight="1">
      <c r="A735" s="3">
        <f>0</f>
        <v>0</v>
      </c>
      <c r="B735" s="3">
        <f>1</f>
        <v>1</v>
      </c>
      <c r="C735" s="1">
        <f>0</f>
        <v>0</v>
      </c>
      <c r="D735" s="1">
        <f>0</f>
        <v>0</v>
      </c>
      <c r="E735" s="1" t="s">
        <v>1072</v>
      </c>
      <c r="F735" s="1" t="s">
        <v>1345</v>
      </c>
      <c r="G735" s="5">
        <f>157.1285</f>
        <v>157.1285</v>
      </c>
      <c r="H735" s="7">
        <f t="shared" si="11"/>
        <v>0.06853934299660201</v>
      </c>
    </row>
    <row r="736" spans="1:8" ht="14.25" customHeight="1">
      <c r="A736" s="3">
        <f>3</f>
        <v>3</v>
      </c>
      <c r="B736" s="3">
        <f>1</f>
        <v>1</v>
      </c>
      <c r="C736" s="1">
        <f>0</f>
        <v>0</v>
      </c>
      <c r="D736" s="1">
        <f>0</f>
        <v>0</v>
      </c>
      <c r="E736" s="1" t="s">
        <v>712</v>
      </c>
      <c r="F736" s="1"/>
      <c r="G736" s="5">
        <f>1005.125</f>
        <v>1005.125</v>
      </c>
      <c r="H736" s="7">
        <f t="shared" si="11"/>
        <v>0.4384348296423602</v>
      </c>
    </row>
    <row r="737" spans="1:8" ht="14.25" customHeight="1">
      <c r="A737" s="3">
        <f>3</f>
        <v>3</v>
      </c>
      <c r="B737" s="3">
        <f>1</f>
        <v>1</v>
      </c>
      <c r="C737" s="1">
        <f>0</f>
        <v>0</v>
      </c>
      <c r="D737" s="1">
        <f>0</f>
        <v>0</v>
      </c>
      <c r="E737" s="1" t="s">
        <v>563</v>
      </c>
      <c r="F737" s="1"/>
      <c r="G737" s="5">
        <f>7.2552</f>
        <v>7.2552</v>
      </c>
      <c r="H737" s="7">
        <f t="shared" si="11"/>
        <v>0.0031647132207648318</v>
      </c>
    </row>
    <row r="738" spans="1:8" ht="14.25" customHeight="1">
      <c r="A738" s="3">
        <f>3</f>
        <v>3</v>
      </c>
      <c r="B738" s="3">
        <f>1</f>
        <v>1</v>
      </c>
      <c r="C738" s="1">
        <f>0</f>
        <v>0</v>
      </c>
      <c r="D738" s="1">
        <f>0</f>
        <v>0</v>
      </c>
      <c r="E738" s="1" t="s">
        <v>753</v>
      </c>
      <c r="F738" s="1"/>
      <c r="G738" s="5">
        <f>725.2361</f>
        <v>725.2361</v>
      </c>
      <c r="H738" s="7">
        <f t="shared" si="11"/>
        <v>0.3163474850928886</v>
      </c>
    </row>
    <row r="739" spans="1:8" ht="14.25" customHeight="1">
      <c r="A739" s="3">
        <f>3</f>
        <v>3</v>
      </c>
      <c r="B739" s="3">
        <f>1</f>
        <v>1</v>
      </c>
      <c r="C739" s="1">
        <f>0</f>
        <v>0</v>
      </c>
      <c r="D739" s="1">
        <f>0</f>
        <v>0</v>
      </c>
      <c r="E739" s="1" t="s">
        <v>1277</v>
      </c>
      <c r="F739" s="1"/>
      <c r="G739" s="5">
        <f>764.5694</f>
        <v>764.5694</v>
      </c>
      <c r="H739" s="7">
        <f t="shared" si="11"/>
        <v>0.33350464334163565</v>
      </c>
    </row>
    <row r="740" spans="1:8" ht="14.25" customHeight="1">
      <c r="A740" s="3">
        <f>0</f>
        <v>0</v>
      </c>
      <c r="B740" s="3">
        <f>1</f>
        <v>1</v>
      </c>
      <c r="C740" s="1">
        <f>0</f>
        <v>0</v>
      </c>
      <c r="D740" s="1">
        <f>0</f>
        <v>0</v>
      </c>
      <c r="E740" s="1" t="s">
        <v>1251</v>
      </c>
      <c r="F740" s="1" t="s">
        <v>1530</v>
      </c>
      <c r="G740" s="5">
        <f>149.8187</f>
        <v>149.8187</v>
      </c>
      <c r="H740" s="7">
        <f t="shared" si="11"/>
        <v>0.06535081329361012</v>
      </c>
    </row>
    <row r="741" spans="1:8" ht="14.25" customHeight="1">
      <c r="A741" s="3">
        <f>3</f>
        <v>3</v>
      </c>
      <c r="B741" s="3">
        <f>1</f>
        <v>1</v>
      </c>
      <c r="C741" s="1">
        <f>0</f>
        <v>0</v>
      </c>
      <c r="D741" s="1">
        <f>0</f>
        <v>0</v>
      </c>
      <c r="E741" s="1" t="s">
        <v>736</v>
      </c>
      <c r="F741" s="1"/>
      <c r="G741" s="5">
        <f>36.6667</f>
        <v>36.6667</v>
      </c>
      <c r="H741" s="7">
        <f t="shared" si="11"/>
        <v>0.01599398917353317</v>
      </c>
    </row>
    <row r="742" spans="1:8" ht="14.25" customHeight="1">
      <c r="A742" s="3">
        <f>0</f>
        <v>0</v>
      </c>
      <c r="B742" s="3">
        <f>1</f>
        <v>1</v>
      </c>
      <c r="C742" s="1">
        <f>0</f>
        <v>0</v>
      </c>
      <c r="D742" s="1">
        <f>0</f>
        <v>0</v>
      </c>
      <c r="E742" s="1" t="s">
        <v>467</v>
      </c>
      <c r="F742" s="1" t="s">
        <v>295</v>
      </c>
      <c r="G742" s="5">
        <f>79.1088</f>
        <v>79.1088</v>
      </c>
      <c r="H742" s="7">
        <f t="shared" si="11"/>
        <v>0.034507203831574726</v>
      </c>
    </row>
    <row r="743" spans="1:8" ht="14.25" customHeight="1">
      <c r="A743" s="3">
        <f>0</f>
        <v>0</v>
      </c>
      <c r="B743" s="3">
        <f>1</f>
        <v>1</v>
      </c>
      <c r="C743" s="1">
        <f>0</f>
        <v>0</v>
      </c>
      <c r="D743" s="1">
        <f>0</f>
        <v>0</v>
      </c>
      <c r="E743" s="1" t="s">
        <v>337</v>
      </c>
      <c r="F743" s="1" t="s">
        <v>441</v>
      </c>
      <c r="G743" s="5">
        <f>67.1429</f>
        <v>67.1429</v>
      </c>
      <c r="H743" s="7">
        <f t="shared" si="11"/>
        <v>0.029287686529729164</v>
      </c>
    </row>
    <row r="744" spans="1:8" ht="14.25" customHeight="1">
      <c r="A744" s="3">
        <f>0</f>
        <v>0</v>
      </c>
      <c r="B744" s="3">
        <f>1</f>
        <v>1</v>
      </c>
      <c r="C744" s="1">
        <f>0</f>
        <v>0</v>
      </c>
      <c r="D744" s="1">
        <f>0</f>
        <v>0</v>
      </c>
      <c r="E744" s="1" t="s">
        <v>362</v>
      </c>
      <c r="F744" s="1" t="s">
        <v>1104</v>
      </c>
      <c r="G744" s="5">
        <f>17.4521</f>
        <v>17.4521</v>
      </c>
      <c r="H744" s="7">
        <f t="shared" si="11"/>
        <v>0.007612593946426002</v>
      </c>
    </row>
    <row r="745" spans="1:8" ht="14.25" customHeight="1">
      <c r="A745" s="3">
        <f>0</f>
        <v>0</v>
      </c>
      <c r="B745" s="3">
        <f>1</f>
        <v>1</v>
      </c>
      <c r="C745" s="1">
        <f>0</f>
        <v>0</v>
      </c>
      <c r="D745" s="1">
        <f>0</f>
        <v>0</v>
      </c>
      <c r="E745" s="1" t="s">
        <v>447</v>
      </c>
      <c r="F745" s="1" t="s">
        <v>72</v>
      </c>
      <c r="G745" s="5">
        <f>25.1</f>
        <v>25.1</v>
      </c>
      <c r="H745" s="7">
        <f t="shared" si="11"/>
        <v>0.010948602635516221</v>
      </c>
    </row>
    <row r="746" spans="1:8" ht="14.25" customHeight="1">
      <c r="A746" s="3">
        <f>3</f>
        <v>3</v>
      </c>
      <c r="B746" s="3">
        <f>1</f>
        <v>1</v>
      </c>
      <c r="C746" s="1">
        <f>0</f>
        <v>0</v>
      </c>
      <c r="D746" s="1">
        <f>0</f>
        <v>0</v>
      </c>
      <c r="E746" s="1" t="s">
        <v>480</v>
      </c>
      <c r="F746" s="1"/>
      <c r="G746" s="5">
        <f>93.4</f>
        <v>93.4</v>
      </c>
      <c r="H746" s="7">
        <f t="shared" si="11"/>
        <v>0.0407410153847496</v>
      </c>
    </row>
    <row r="747" spans="1:8" ht="14.25" customHeight="1">
      <c r="A747" s="3">
        <f>3</f>
        <v>3</v>
      </c>
      <c r="B747" s="3">
        <f>1</f>
        <v>1</v>
      </c>
      <c r="C747" s="1">
        <f>0</f>
        <v>0</v>
      </c>
      <c r="D747" s="1">
        <f>0</f>
        <v>0</v>
      </c>
      <c r="E747" s="1" t="s">
        <v>903</v>
      </c>
      <c r="F747" s="1"/>
      <c r="G747" s="5">
        <f>14.8667</f>
        <v>14.8667</v>
      </c>
      <c r="H747" s="7">
        <f t="shared" si="11"/>
        <v>0.0064848442550370115</v>
      </c>
    </row>
    <row r="748" spans="1:8" ht="14.25" customHeight="1">
      <c r="A748" s="3">
        <f>0</f>
        <v>0</v>
      </c>
      <c r="B748" s="3">
        <f>1</f>
        <v>1</v>
      </c>
      <c r="C748" s="1">
        <f>0</f>
        <v>0</v>
      </c>
      <c r="D748" s="1">
        <f>0</f>
        <v>0</v>
      </c>
      <c r="E748" s="1" t="s">
        <v>428</v>
      </c>
      <c r="F748" s="1" t="s">
        <v>1434</v>
      </c>
      <c r="G748" s="5">
        <f>246.1597</f>
        <v>246.1597</v>
      </c>
      <c r="H748" s="7">
        <f t="shared" si="11"/>
        <v>0.10737469084374031</v>
      </c>
    </row>
    <row r="749" spans="1:8" ht="14.25" customHeight="1">
      <c r="A749" s="3">
        <f>3</f>
        <v>3</v>
      </c>
      <c r="B749" s="3">
        <f>1</f>
        <v>1</v>
      </c>
      <c r="C749" s="1">
        <f>0</f>
        <v>0</v>
      </c>
      <c r="D749" s="1">
        <f>0</f>
        <v>0</v>
      </c>
      <c r="E749" s="1" t="s">
        <v>1553</v>
      </c>
      <c r="F749" s="1"/>
      <c r="G749" s="5">
        <f>7.9881</f>
        <v>7.9881</v>
      </c>
      <c r="H749" s="7">
        <f t="shared" si="11"/>
        <v>0.0034844036937357417</v>
      </c>
    </row>
    <row r="750" spans="1:8" ht="14.25" customHeight="1">
      <c r="A750" s="3">
        <f>0</f>
        <v>0</v>
      </c>
      <c r="B750" s="3">
        <f>1</f>
        <v>1</v>
      </c>
      <c r="C750" s="1">
        <f>0</f>
        <v>0</v>
      </c>
      <c r="D750" s="1">
        <f>0</f>
        <v>0</v>
      </c>
      <c r="E750" s="1" t="s">
        <v>389</v>
      </c>
      <c r="F750" s="1" t="s">
        <v>133</v>
      </c>
      <c r="G750" s="5">
        <f>14.9688</f>
        <v>14.9688</v>
      </c>
      <c r="H750" s="7">
        <f t="shared" si="11"/>
        <v>0.006529380204402996</v>
      </c>
    </row>
    <row r="751" spans="1:8" ht="14.25" customHeight="1">
      <c r="A751" s="3">
        <f>0</f>
        <v>0</v>
      </c>
      <c r="B751" s="3">
        <f>1</f>
        <v>1</v>
      </c>
      <c r="C751" s="1">
        <f>0</f>
        <v>0</v>
      </c>
      <c r="D751" s="1">
        <f>0</f>
        <v>0</v>
      </c>
      <c r="E751" s="1" t="s">
        <v>1252</v>
      </c>
      <c r="F751" s="1" t="s">
        <v>673</v>
      </c>
      <c r="G751" s="5">
        <f>402.6667</f>
        <v>402.6667</v>
      </c>
      <c r="H751" s="7">
        <f t="shared" si="11"/>
        <v>0.17564293597030353</v>
      </c>
    </row>
    <row r="752" spans="1:8" ht="14.25" customHeight="1">
      <c r="A752" s="3">
        <f>0</f>
        <v>0</v>
      </c>
      <c r="B752" s="3">
        <f>1</f>
        <v>1</v>
      </c>
      <c r="C752" s="1">
        <f>0</f>
        <v>0</v>
      </c>
      <c r="D752" s="1">
        <f>0</f>
        <v>0</v>
      </c>
      <c r="E752" s="1" t="s">
        <v>1261</v>
      </c>
      <c r="F752" s="1" t="s">
        <v>1478</v>
      </c>
      <c r="G752" s="5">
        <f>76.0264</f>
        <v>76.0264</v>
      </c>
      <c r="H752" s="7">
        <f t="shared" si="11"/>
        <v>0.033162663084016344</v>
      </c>
    </row>
    <row r="753" spans="1:8" ht="14.25" customHeight="1">
      <c r="A753" s="3">
        <f>0</f>
        <v>0</v>
      </c>
      <c r="B753" s="3">
        <f>1</f>
        <v>1</v>
      </c>
      <c r="C753" s="1">
        <f>0</f>
        <v>0</v>
      </c>
      <c r="D753" s="1">
        <f>0</f>
        <v>0</v>
      </c>
      <c r="E753" s="1" t="s">
        <v>339</v>
      </c>
      <c r="F753" s="1" t="s">
        <v>186</v>
      </c>
      <c r="G753" s="5">
        <f>5.4722</f>
        <v>5.4722</v>
      </c>
      <c r="H753" s="7">
        <f t="shared" si="11"/>
        <v>0.002386969854265811</v>
      </c>
    </row>
    <row r="754" spans="1:8" ht="14.25" customHeight="1">
      <c r="A754" s="3">
        <f>0</f>
        <v>0</v>
      </c>
      <c r="B754" s="3">
        <f>1</f>
        <v>1</v>
      </c>
      <c r="C754" s="1">
        <f>0</f>
        <v>0</v>
      </c>
      <c r="D754" s="1">
        <f>0</f>
        <v>0</v>
      </c>
      <c r="E754" s="1" t="s">
        <v>448</v>
      </c>
      <c r="F754" s="1" t="s">
        <v>1348</v>
      </c>
      <c r="G754" s="5">
        <f>167.1842</f>
        <v>167.1842</v>
      </c>
      <c r="H754" s="7">
        <f t="shared" si="11"/>
        <v>0.07292563237994705</v>
      </c>
    </row>
    <row r="755" spans="1:8" ht="14.25" customHeight="1">
      <c r="A755" s="3">
        <f>0</f>
        <v>0</v>
      </c>
      <c r="B755" s="3">
        <f>1</f>
        <v>1</v>
      </c>
      <c r="C755" s="1">
        <f>0</f>
        <v>0</v>
      </c>
      <c r="D755" s="1">
        <f>0</f>
        <v>0</v>
      </c>
      <c r="E755" s="1" t="s">
        <v>468</v>
      </c>
      <c r="F755" s="1" t="s">
        <v>1394</v>
      </c>
      <c r="G755" s="5">
        <f>390.5351</f>
        <v>390.5351</v>
      </c>
      <c r="H755" s="7">
        <f t="shared" si="11"/>
        <v>0.17035114044309124</v>
      </c>
    </row>
    <row r="756" spans="1:8" ht="14.25" customHeight="1">
      <c r="A756" s="3">
        <f>3</f>
        <v>3</v>
      </c>
      <c r="B756" s="3">
        <f>1</f>
        <v>1</v>
      </c>
      <c r="C756" s="1">
        <f>0</f>
        <v>0</v>
      </c>
      <c r="D756" s="1">
        <f>0</f>
        <v>0</v>
      </c>
      <c r="E756" s="1" t="s">
        <v>47</v>
      </c>
      <c r="F756" s="1"/>
      <c r="G756" s="5">
        <f>166</f>
        <v>166</v>
      </c>
      <c r="H756" s="7">
        <f t="shared" si="11"/>
        <v>0.07240908515919094</v>
      </c>
    </row>
    <row r="757" spans="1:8" ht="14.25" customHeight="1">
      <c r="A757" s="3">
        <f>0</f>
        <v>0</v>
      </c>
      <c r="B757" s="3">
        <f>1</f>
        <v>1</v>
      </c>
      <c r="C757" s="1">
        <f>0</f>
        <v>0</v>
      </c>
      <c r="D757" s="1">
        <f>0</f>
        <v>0</v>
      </c>
      <c r="E757" s="1" t="s">
        <v>338</v>
      </c>
      <c r="F757" s="1" t="s">
        <v>110</v>
      </c>
      <c r="G757" s="5">
        <f>14.3667</f>
        <v>14.3667</v>
      </c>
      <c r="H757" s="7">
        <f t="shared" si="11"/>
        <v>0.006266744600943063</v>
      </c>
    </row>
    <row r="758" spans="1:8" ht="14.25" customHeight="1">
      <c r="A758" s="3">
        <f>3</f>
        <v>3</v>
      </c>
      <c r="B758" s="3">
        <f>1</f>
        <v>1</v>
      </c>
      <c r="C758" s="1">
        <f>0</f>
        <v>0</v>
      </c>
      <c r="D758" s="1">
        <f>0</f>
        <v>0</v>
      </c>
      <c r="E758" s="1" t="s">
        <v>823</v>
      </c>
      <c r="F758" s="1"/>
      <c r="G758" s="5">
        <f>14</f>
        <v>14</v>
      </c>
      <c r="H758" s="7">
        <f t="shared" si="11"/>
        <v>0.006106790314630561</v>
      </c>
    </row>
    <row r="759" spans="1:8" ht="14.25" customHeight="1">
      <c r="A759" s="3">
        <f>0</f>
        <v>0</v>
      </c>
      <c r="B759" s="3">
        <f>1</f>
        <v>1</v>
      </c>
      <c r="C759" s="1">
        <f>0</f>
        <v>0</v>
      </c>
      <c r="D759" s="1">
        <f>0</f>
        <v>0</v>
      </c>
      <c r="E759" s="1" t="s">
        <v>1465</v>
      </c>
      <c r="F759" s="1" t="s">
        <v>1523</v>
      </c>
      <c r="G759" s="5">
        <f>3.3125</f>
        <v>3.3125</v>
      </c>
      <c r="H759" s="7">
        <f t="shared" si="11"/>
        <v>0.0014449102083724094</v>
      </c>
    </row>
    <row r="760" spans="1:8" ht="14.25" customHeight="1">
      <c r="A760" s="3">
        <f>3</f>
        <v>3</v>
      </c>
      <c r="B760" s="3">
        <f>1</f>
        <v>1</v>
      </c>
      <c r="C760" s="1">
        <f>0</f>
        <v>0</v>
      </c>
      <c r="D760" s="1">
        <f>0</f>
        <v>0</v>
      </c>
      <c r="E760" s="1" t="s">
        <v>1162</v>
      </c>
      <c r="F760" s="1"/>
      <c r="G760" s="5">
        <f>3.3125</f>
        <v>3.3125</v>
      </c>
      <c r="H760" s="7">
        <f t="shared" si="11"/>
        <v>0.0014449102083724094</v>
      </c>
    </row>
    <row r="761" spans="1:8" ht="14.25" customHeight="1">
      <c r="A761" s="3">
        <f>3</f>
        <v>3</v>
      </c>
      <c r="B761" s="3">
        <f>1</f>
        <v>1</v>
      </c>
      <c r="C761" s="1">
        <f>0</f>
        <v>0</v>
      </c>
      <c r="D761" s="1">
        <f>0</f>
        <v>0</v>
      </c>
      <c r="E761" s="1" t="s">
        <v>882</v>
      </c>
      <c r="F761" s="1"/>
      <c r="G761" s="5">
        <f>3.3125</f>
        <v>3.3125</v>
      </c>
      <c r="H761" s="7">
        <f t="shared" si="11"/>
        <v>0.0014449102083724094</v>
      </c>
    </row>
    <row r="762" spans="1:8" ht="14.25" customHeight="1">
      <c r="A762" s="3">
        <f>3</f>
        <v>3</v>
      </c>
      <c r="B762" s="3">
        <f>1</f>
        <v>1</v>
      </c>
      <c r="C762" s="1">
        <f>0</f>
        <v>0</v>
      </c>
      <c r="D762" s="1">
        <f>0</f>
        <v>0</v>
      </c>
      <c r="E762" s="1" t="s">
        <v>944</v>
      </c>
      <c r="F762" s="1"/>
      <c r="G762" s="5">
        <f>24.3125</f>
        <v>24.3125</v>
      </c>
      <c r="H762" s="7">
        <f t="shared" si="11"/>
        <v>0.010605095680318252</v>
      </c>
    </row>
    <row r="763" spans="1:8" ht="14.25" customHeight="1">
      <c r="A763" s="3">
        <f>3</f>
        <v>3</v>
      </c>
      <c r="B763" s="3">
        <f>1</f>
        <v>1</v>
      </c>
      <c r="C763" s="1">
        <f>0</f>
        <v>0</v>
      </c>
      <c r="D763" s="1">
        <f>0</f>
        <v>0</v>
      </c>
      <c r="E763" s="1" t="s">
        <v>1242</v>
      </c>
      <c r="F763" s="1"/>
      <c r="G763" s="5">
        <f>91</f>
        <v>91</v>
      </c>
      <c r="H763" s="7">
        <f t="shared" si="11"/>
        <v>0.039694137045098644</v>
      </c>
    </row>
    <row r="764" spans="1:8" ht="14.25" customHeight="1">
      <c r="A764" s="3">
        <f>3</f>
        <v>3</v>
      </c>
      <c r="B764" s="3">
        <f>1</f>
        <v>1</v>
      </c>
      <c r="C764" s="1">
        <f>0</f>
        <v>0</v>
      </c>
      <c r="D764" s="1">
        <f>0</f>
        <v>0</v>
      </c>
      <c r="E764" s="1" t="s">
        <v>1278</v>
      </c>
      <c r="F764" s="1"/>
      <c r="G764" s="5">
        <f>28</f>
        <v>28</v>
      </c>
      <c r="H764" s="7">
        <f t="shared" si="11"/>
        <v>0.012213580629261122</v>
      </c>
    </row>
    <row r="765" spans="1:8" ht="14.25" customHeight="1">
      <c r="A765" s="3">
        <f>3</f>
        <v>3</v>
      </c>
      <c r="B765" s="3">
        <f>1</f>
        <v>1</v>
      </c>
      <c r="C765" s="1">
        <f>0</f>
        <v>0</v>
      </c>
      <c r="D765" s="1">
        <f>0</f>
        <v>0</v>
      </c>
      <c r="E765" s="1" t="s">
        <v>1000</v>
      </c>
      <c r="F765" s="1"/>
      <c r="G765" s="5">
        <f>153</f>
        <v>153</v>
      </c>
      <c r="H765" s="7">
        <f t="shared" si="11"/>
        <v>0.06673849415274827</v>
      </c>
    </row>
    <row r="766" spans="1:8" ht="14.25" customHeight="1">
      <c r="A766" s="3">
        <f>3</f>
        <v>3</v>
      </c>
      <c r="B766" s="3">
        <f>1</f>
        <v>1</v>
      </c>
      <c r="C766" s="1">
        <f>0</f>
        <v>0</v>
      </c>
      <c r="D766" s="1">
        <f>0</f>
        <v>0</v>
      </c>
      <c r="E766" s="1" t="s">
        <v>1049</v>
      </c>
      <c r="F766" s="1"/>
      <c r="G766" s="5">
        <f>14</f>
        <v>14</v>
      </c>
      <c r="H766" s="7">
        <f t="shared" si="11"/>
        <v>0.006106790314630561</v>
      </c>
    </row>
    <row r="767" spans="1:8" ht="14.25" customHeight="1">
      <c r="A767" s="3">
        <f>3</f>
        <v>3</v>
      </c>
      <c r="B767" s="3">
        <f>1</f>
        <v>1</v>
      </c>
      <c r="C767" s="1">
        <f>0</f>
        <v>0</v>
      </c>
      <c r="D767" s="1">
        <f>0</f>
        <v>0</v>
      </c>
      <c r="E767" s="1" t="s">
        <v>227</v>
      </c>
      <c r="F767" s="1"/>
      <c r="G767" s="5">
        <f>112.1563</f>
        <v>112.1563</v>
      </c>
      <c r="H767" s="7">
        <f t="shared" si="11"/>
        <v>0.048922500468914255</v>
      </c>
    </row>
    <row r="768" spans="1:8" ht="14.25" customHeight="1">
      <c r="A768" s="3">
        <f>3</f>
        <v>3</v>
      </c>
      <c r="B768" s="3">
        <f>1</f>
        <v>1</v>
      </c>
      <c r="C768" s="1">
        <f>0</f>
        <v>0</v>
      </c>
      <c r="D768" s="1">
        <f>0</f>
        <v>0</v>
      </c>
      <c r="E768" s="1" t="s">
        <v>511</v>
      </c>
      <c r="F768" s="1"/>
      <c r="G768" s="5">
        <f>23.65</f>
        <v>23.65</v>
      </c>
      <c r="H768" s="7">
        <f t="shared" si="11"/>
        <v>0.010316113638643768</v>
      </c>
    </row>
    <row r="769" spans="1:8" ht="14.25" customHeight="1">
      <c r="A769" s="3">
        <f>0</f>
        <v>0</v>
      </c>
      <c r="B769" s="3">
        <f>1</f>
        <v>1</v>
      </c>
      <c r="C769" s="1">
        <f>0</f>
        <v>0</v>
      </c>
      <c r="D769" s="1">
        <f>0</f>
        <v>0</v>
      </c>
      <c r="E769" s="1" t="s">
        <v>449</v>
      </c>
      <c r="F769" s="1" t="s">
        <v>1439</v>
      </c>
      <c r="G769" s="5">
        <f>153.3125</f>
        <v>153.3125</v>
      </c>
      <c r="H769" s="7">
        <f t="shared" si="11"/>
        <v>0.066874806436557</v>
      </c>
    </row>
    <row r="770" spans="1:8" ht="14.25" customHeight="1">
      <c r="A770" s="3">
        <f>3</f>
        <v>3</v>
      </c>
      <c r="B770" s="3">
        <f>1</f>
        <v>1</v>
      </c>
      <c r="C770" s="1">
        <f>0</f>
        <v>0</v>
      </c>
      <c r="D770" s="1">
        <f>0</f>
        <v>0</v>
      </c>
      <c r="E770" s="1" t="s">
        <v>1001</v>
      </c>
      <c r="F770" s="1"/>
      <c r="G770" s="5">
        <f>13.25</f>
        <v>13.25</v>
      </c>
      <c r="H770" s="7">
        <f aca="true" t="shared" si="12" ref="H770:H833">SUM(100/229253*G$1:G$65536)</f>
        <v>0.0057796408334896375</v>
      </c>
    </row>
    <row r="771" spans="1:8" ht="14.25" customHeight="1">
      <c r="A771" s="3">
        <f>3</f>
        <v>3</v>
      </c>
      <c r="B771" s="3">
        <f>1</f>
        <v>1</v>
      </c>
      <c r="C771" s="1">
        <f>0</f>
        <v>0</v>
      </c>
      <c r="D771" s="1">
        <f>0</f>
        <v>0</v>
      </c>
      <c r="E771" s="1" t="s">
        <v>80</v>
      </c>
      <c r="F771" s="1"/>
      <c r="G771" s="5">
        <f>153</f>
        <v>153</v>
      </c>
      <c r="H771" s="7">
        <f t="shared" si="12"/>
        <v>0.06673849415274827</v>
      </c>
    </row>
    <row r="772" spans="1:8" ht="14.25" customHeight="1">
      <c r="A772" s="3">
        <f>3</f>
        <v>3</v>
      </c>
      <c r="B772" s="3">
        <f>1</f>
        <v>1</v>
      </c>
      <c r="C772" s="1">
        <f>0</f>
        <v>0</v>
      </c>
      <c r="D772" s="1">
        <f>0</f>
        <v>0</v>
      </c>
      <c r="E772" s="1" t="s">
        <v>306</v>
      </c>
      <c r="F772" s="1"/>
      <c r="G772" s="5">
        <f>81.8</f>
        <v>81.8</v>
      </c>
      <c r="H772" s="7">
        <f t="shared" si="12"/>
        <v>0.03568110340976999</v>
      </c>
    </row>
    <row r="773" spans="1:8" ht="14.25" customHeight="1">
      <c r="A773" s="3">
        <f>3</f>
        <v>3</v>
      </c>
      <c r="B773" s="3">
        <f>1</f>
        <v>1</v>
      </c>
      <c r="C773" s="1">
        <f>0</f>
        <v>0</v>
      </c>
      <c r="D773" s="1">
        <f>0</f>
        <v>0</v>
      </c>
      <c r="E773" s="1" t="s">
        <v>81</v>
      </c>
      <c r="F773" s="1"/>
      <c r="G773" s="5">
        <f>631.5</f>
        <v>631.5</v>
      </c>
      <c r="H773" s="7">
        <f t="shared" si="12"/>
        <v>0.27545986312065707</v>
      </c>
    </row>
    <row r="774" spans="1:8" ht="14.25" customHeight="1">
      <c r="A774" s="3">
        <f>3</f>
        <v>3</v>
      </c>
      <c r="B774" s="3">
        <f>1</f>
        <v>1</v>
      </c>
      <c r="C774" s="1">
        <f>0</f>
        <v>0</v>
      </c>
      <c r="D774" s="1">
        <f>0</f>
        <v>0</v>
      </c>
      <c r="E774" s="1" t="s">
        <v>175</v>
      </c>
      <c r="F774" s="1"/>
      <c r="G774" s="5">
        <f>0.7333</f>
        <v>0.7333</v>
      </c>
      <c r="H774" s="7">
        <f t="shared" si="12"/>
        <v>0.000319864952694185</v>
      </c>
    </row>
    <row r="775" spans="1:8" ht="14.25" customHeight="1">
      <c r="A775" s="3">
        <f>0</f>
        <v>0</v>
      </c>
      <c r="B775" s="3">
        <f>1</f>
        <v>1</v>
      </c>
      <c r="C775" s="1">
        <f>0</f>
        <v>0</v>
      </c>
      <c r="D775" s="1">
        <f>0</f>
        <v>0</v>
      </c>
      <c r="E775" s="1" t="s">
        <v>1296</v>
      </c>
      <c r="F775" s="1" t="s">
        <v>1590</v>
      </c>
      <c r="G775" s="5">
        <f>15.1579</f>
        <v>15.1579</v>
      </c>
      <c r="H775" s="7">
        <f t="shared" si="12"/>
        <v>0.006611865493581327</v>
      </c>
    </row>
    <row r="776" spans="1:8" ht="14.25" customHeight="1">
      <c r="A776" s="3">
        <f>0</f>
        <v>0</v>
      </c>
      <c r="B776" s="3">
        <f>1</f>
        <v>1</v>
      </c>
      <c r="C776" s="1">
        <f>0</f>
        <v>0</v>
      </c>
      <c r="D776" s="1">
        <f>0</f>
        <v>0</v>
      </c>
      <c r="E776" s="1" t="s">
        <v>1174</v>
      </c>
      <c r="F776" s="1" t="s">
        <v>74</v>
      </c>
      <c r="G776" s="5">
        <f>20.6875</f>
        <v>20.6875</v>
      </c>
      <c r="H776" s="7">
        <f t="shared" si="12"/>
        <v>0.009023873188137124</v>
      </c>
    </row>
    <row r="777" spans="1:8" ht="14.25" customHeight="1">
      <c r="A777" s="3">
        <f>3</f>
        <v>3</v>
      </c>
      <c r="B777" s="3">
        <f>1</f>
        <v>1</v>
      </c>
      <c r="C777" s="1">
        <f>0</f>
        <v>0</v>
      </c>
      <c r="D777" s="1">
        <f>0</f>
        <v>0</v>
      </c>
      <c r="E777" s="1" t="s">
        <v>754</v>
      </c>
      <c r="F777" s="1"/>
      <c r="G777" s="5">
        <f>251</f>
        <v>251</v>
      </c>
      <c r="H777" s="7">
        <f t="shared" si="12"/>
        <v>0.10948602635516219</v>
      </c>
    </row>
    <row r="778" spans="1:8" ht="14.25" customHeight="1">
      <c r="A778" s="3">
        <f>3</f>
        <v>3</v>
      </c>
      <c r="B778" s="3">
        <f>1</f>
        <v>1</v>
      </c>
      <c r="C778" s="1">
        <f>0</f>
        <v>0</v>
      </c>
      <c r="D778" s="1">
        <f>0</f>
        <v>0</v>
      </c>
      <c r="E778" s="1" t="s">
        <v>818</v>
      </c>
      <c r="F778" s="1"/>
      <c r="G778" s="5">
        <f>22.75</f>
        <v>22.75</v>
      </c>
      <c r="H778" s="7">
        <f t="shared" si="12"/>
        <v>0.009923534261274661</v>
      </c>
    </row>
    <row r="779" spans="1:8" ht="14.25" customHeight="1">
      <c r="A779" s="3">
        <f>3</f>
        <v>3</v>
      </c>
      <c r="B779" s="3">
        <f>1</f>
        <v>1</v>
      </c>
      <c r="C779" s="1">
        <f>0</f>
        <v>0</v>
      </c>
      <c r="D779" s="1">
        <f>0</f>
        <v>0</v>
      </c>
      <c r="E779" s="1" t="s">
        <v>619</v>
      </c>
      <c r="F779" s="1"/>
      <c r="G779" s="5">
        <f>84</f>
        <v>84</v>
      </c>
      <c r="H779" s="7">
        <f t="shared" si="12"/>
        <v>0.036640741887783365</v>
      </c>
    </row>
    <row r="780" spans="1:8" ht="14.25" customHeight="1">
      <c r="A780" s="3">
        <f>3</f>
        <v>3</v>
      </c>
      <c r="B780" s="3">
        <f>1</f>
        <v>1</v>
      </c>
      <c r="C780" s="1">
        <f>0</f>
        <v>0</v>
      </c>
      <c r="D780" s="1">
        <f>0</f>
        <v>0</v>
      </c>
      <c r="E780" s="1" t="s">
        <v>797</v>
      </c>
      <c r="F780" s="1"/>
      <c r="G780" s="5">
        <f>176.5972</f>
        <v>176.5972</v>
      </c>
      <c r="H780" s="7">
        <f t="shared" si="12"/>
        <v>0.07703157646791971</v>
      </c>
    </row>
    <row r="781" spans="1:8" ht="14.25" customHeight="1">
      <c r="A781" s="3">
        <f>3</f>
        <v>3</v>
      </c>
      <c r="B781" s="3">
        <f>1</f>
        <v>1</v>
      </c>
      <c r="C781" s="1">
        <f>0</f>
        <v>0</v>
      </c>
      <c r="D781" s="1">
        <f>0</f>
        <v>0</v>
      </c>
      <c r="E781" s="1" t="s">
        <v>798</v>
      </c>
      <c r="F781" s="1"/>
      <c r="G781" s="5">
        <f>2.1574</f>
        <v>2.1574</v>
      </c>
      <c r="H781" s="7">
        <f t="shared" si="12"/>
        <v>0.0009410563874845694</v>
      </c>
    </row>
    <row r="782" spans="1:8" ht="14.25" customHeight="1">
      <c r="A782" s="3">
        <f>3</f>
        <v>3</v>
      </c>
      <c r="B782" s="3">
        <f>1</f>
        <v>1</v>
      </c>
      <c r="C782" s="1">
        <f>0</f>
        <v>0</v>
      </c>
      <c r="D782" s="1">
        <f>0</f>
        <v>0</v>
      </c>
      <c r="E782" s="1" t="s">
        <v>767</v>
      </c>
      <c r="F782" s="1"/>
      <c r="G782" s="5">
        <f>311.2296</f>
        <v>311.2296</v>
      </c>
      <c r="H782" s="7">
        <f t="shared" si="12"/>
        <v>0.13575813620759597</v>
      </c>
    </row>
    <row r="783" spans="1:8" ht="14.25" customHeight="1">
      <c r="A783" s="3">
        <f>3</f>
        <v>3</v>
      </c>
      <c r="B783" s="3">
        <f>1</f>
        <v>1</v>
      </c>
      <c r="C783" s="1">
        <f>0</f>
        <v>0</v>
      </c>
      <c r="D783" s="1">
        <f>0</f>
        <v>0</v>
      </c>
      <c r="E783" s="1" t="s">
        <v>713</v>
      </c>
      <c r="F783" s="1"/>
      <c r="G783" s="5">
        <f>22.8</f>
        <v>22.8</v>
      </c>
      <c r="H783" s="7">
        <f t="shared" si="12"/>
        <v>0.009945344226684057</v>
      </c>
    </row>
    <row r="784" spans="1:8" ht="14.25" customHeight="1">
      <c r="A784" s="3">
        <f>0</f>
        <v>0</v>
      </c>
      <c r="B784" s="3">
        <f>1</f>
        <v>1</v>
      </c>
      <c r="C784" s="1">
        <f>0</f>
        <v>0</v>
      </c>
      <c r="D784" s="1">
        <f>0</f>
        <v>0</v>
      </c>
      <c r="E784" s="1" t="s">
        <v>1213</v>
      </c>
      <c r="F784" s="1" t="s">
        <v>289</v>
      </c>
      <c r="G784" s="5">
        <f>447</f>
        <v>447</v>
      </c>
      <c r="H784" s="7">
        <f t="shared" si="12"/>
        <v>0.19498109075999004</v>
      </c>
    </row>
    <row r="785" spans="1:8" ht="14.25" customHeight="1">
      <c r="A785" s="3">
        <f>3</f>
        <v>3</v>
      </c>
      <c r="B785" s="3">
        <f>1</f>
        <v>1</v>
      </c>
      <c r="C785" s="1">
        <f>0</f>
        <v>0</v>
      </c>
      <c r="D785" s="1">
        <f>0</f>
        <v>0</v>
      </c>
      <c r="E785" s="1" t="s">
        <v>584</v>
      </c>
      <c r="F785" s="1"/>
      <c r="G785" s="5">
        <f>115.6389</f>
        <v>115.6389</v>
      </c>
      <c r="H785" s="7">
        <f t="shared" si="12"/>
        <v>0.05044160817960943</v>
      </c>
    </row>
    <row r="786" spans="1:8" ht="14.25" customHeight="1">
      <c r="A786" s="3">
        <f>0</f>
        <v>0</v>
      </c>
      <c r="B786" s="3">
        <f>1</f>
        <v>1</v>
      </c>
      <c r="C786" s="1">
        <f>0</f>
        <v>0</v>
      </c>
      <c r="D786" s="1">
        <f>0</f>
        <v>0</v>
      </c>
      <c r="E786" s="1" t="s">
        <v>867</v>
      </c>
      <c r="F786" s="1" t="s">
        <v>1532</v>
      </c>
      <c r="G786" s="5">
        <f>11.0417</f>
        <v>11.0417</v>
      </c>
      <c r="H786" s="7">
        <f t="shared" si="12"/>
        <v>0.004816381901218305</v>
      </c>
    </row>
    <row r="787" spans="1:8" ht="14.25" customHeight="1">
      <c r="A787" s="3">
        <f>0</f>
        <v>0</v>
      </c>
      <c r="B787" s="3">
        <f>1</f>
        <v>1</v>
      </c>
      <c r="C787" s="1">
        <f>0</f>
        <v>0</v>
      </c>
      <c r="D787" s="1">
        <f>0</f>
        <v>0</v>
      </c>
      <c r="E787" s="1" t="s">
        <v>926</v>
      </c>
      <c r="F787" s="1" t="s">
        <v>1487</v>
      </c>
      <c r="G787" s="5">
        <f>101.6667</f>
        <v>101.6667</v>
      </c>
      <c r="H787" s="7">
        <f t="shared" si="12"/>
        <v>0.04434694420574649</v>
      </c>
    </row>
    <row r="788" spans="1:8" ht="14.25" customHeight="1">
      <c r="A788" s="3">
        <f>3</f>
        <v>3</v>
      </c>
      <c r="B788" s="3">
        <f>1</f>
        <v>1</v>
      </c>
      <c r="C788" s="1">
        <f>0</f>
        <v>0</v>
      </c>
      <c r="D788" s="1">
        <f>0</f>
        <v>0</v>
      </c>
      <c r="E788" s="1" t="s">
        <v>1243</v>
      </c>
      <c r="F788" s="1"/>
      <c r="G788" s="5">
        <f>115.6389</f>
        <v>115.6389</v>
      </c>
      <c r="H788" s="7">
        <f t="shared" si="12"/>
        <v>0.05044160817960943</v>
      </c>
    </row>
    <row r="789" spans="1:8" ht="14.25" customHeight="1">
      <c r="A789" s="3">
        <f>3</f>
        <v>3</v>
      </c>
      <c r="B789" s="3">
        <f>1</f>
        <v>1</v>
      </c>
      <c r="C789" s="1">
        <f>0</f>
        <v>0</v>
      </c>
      <c r="D789" s="1">
        <f>0</f>
        <v>0</v>
      </c>
      <c r="E789" s="1" t="s">
        <v>799</v>
      </c>
      <c r="F789" s="1"/>
      <c r="G789" s="5">
        <f>196.4213</f>
        <v>196.4213</v>
      </c>
      <c r="H789" s="7">
        <f t="shared" si="12"/>
        <v>0.08567883517336741</v>
      </c>
    </row>
    <row r="790" spans="1:8" ht="14.25" customHeight="1">
      <c r="A790" s="3">
        <f>3</f>
        <v>3</v>
      </c>
      <c r="B790" s="3">
        <f>1</f>
        <v>1</v>
      </c>
      <c r="C790" s="1">
        <f>0</f>
        <v>0</v>
      </c>
      <c r="D790" s="1">
        <f>0</f>
        <v>0</v>
      </c>
      <c r="E790" s="1" t="s">
        <v>176</v>
      </c>
      <c r="F790" s="1"/>
      <c r="G790" s="5">
        <f>115.7535</f>
        <v>115.7535</v>
      </c>
      <c r="H790" s="7">
        <f t="shared" si="12"/>
        <v>0.05049159662032776</v>
      </c>
    </row>
    <row r="791" spans="1:8" ht="14.25" customHeight="1">
      <c r="A791" s="3">
        <f>3</f>
        <v>3</v>
      </c>
      <c r="B791" s="3">
        <f>1</f>
        <v>1</v>
      </c>
      <c r="C791" s="1">
        <f>0</f>
        <v>0</v>
      </c>
      <c r="D791" s="1">
        <f>0</f>
        <v>0</v>
      </c>
      <c r="E791" s="1" t="s">
        <v>844</v>
      </c>
      <c r="F791" s="1"/>
      <c r="G791" s="5">
        <f>35.3657</f>
        <v>35.3657</v>
      </c>
      <c r="H791" s="7">
        <f t="shared" si="12"/>
        <v>0.015426493873580714</v>
      </c>
    </row>
    <row r="792" spans="1:8" ht="14.25" customHeight="1">
      <c r="A792" s="3">
        <f>3</f>
        <v>3</v>
      </c>
      <c r="B792" s="3">
        <f>1</f>
        <v>1</v>
      </c>
      <c r="C792" s="1">
        <f>0</f>
        <v>0</v>
      </c>
      <c r="D792" s="1">
        <f>0</f>
        <v>0</v>
      </c>
      <c r="E792" s="1" t="s">
        <v>868</v>
      </c>
      <c r="F792" s="1"/>
      <c r="G792" s="5">
        <f>22.8</f>
        <v>22.8</v>
      </c>
      <c r="H792" s="7">
        <f t="shared" si="12"/>
        <v>0.009945344226684057</v>
      </c>
    </row>
    <row r="793" spans="1:8" ht="14.25" customHeight="1">
      <c r="A793" s="3">
        <f>0</f>
        <v>0</v>
      </c>
      <c r="B793" s="3">
        <f>1</f>
        <v>1</v>
      </c>
      <c r="C793" s="1">
        <f>0</f>
        <v>0</v>
      </c>
      <c r="D793" s="1">
        <f>0</f>
        <v>0</v>
      </c>
      <c r="E793" s="1" t="s">
        <v>1253</v>
      </c>
      <c r="F793" s="1" t="s">
        <v>410</v>
      </c>
      <c r="G793" s="5">
        <f>1019.4365</f>
        <v>1019.4365</v>
      </c>
      <c r="H793" s="7">
        <f t="shared" si="12"/>
        <v>0.44467749604149126</v>
      </c>
    </row>
    <row r="794" spans="1:8" ht="14.25" customHeight="1">
      <c r="A794" s="3">
        <f>3</f>
        <v>3</v>
      </c>
      <c r="B794" s="3">
        <f>1</f>
        <v>1</v>
      </c>
      <c r="C794" s="1">
        <f>0</f>
        <v>0</v>
      </c>
      <c r="D794" s="1">
        <f>0</f>
        <v>0</v>
      </c>
      <c r="E794" s="1" t="s">
        <v>1150</v>
      </c>
      <c r="F794" s="1"/>
      <c r="G794" s="5">
        <f>41.15</f>
        <v>41.15</v>
      </c>
      <c r="H794" s="7">
        <f t="shared" si="12"/>
        <v>0.01794960153193197</v>
      </c>
    </row>
    <row r="795" spans="1:8" ht="14.25" customHeight="1">
      <c r="A795" s="3">
        <f>3</f>
        <v>3</v>
      </c>
      <c r="B795" s="3">
        <f>1</f>
        <v>1</v>
      </c>
      <c r="C795" s="1">
        <f>0</f>
        <v>0</v>
      </c>
      <c r="D795" s="1">
        <f>0</f>
        <v>0</v>
      </c>
      <c r="E795" s="1" t="s">
        <v>1134</v>
      </c>
      <c r="F795" s="1"/>
      <c r="G795" s="5">
        <f>144</f>
        <v>144</v>
      </c>
      <c r="H795" s="7">
        <f t="shared" si="12"/>
        <v>0.0628127003790572</v>
      </c>
    </row>
    <row r="796" spans="1:8" ht="14.25" customHeight="1">
      <c r="A796" s="3">
        <f>0</f>
        <v>0</v>
      </c>
      <c r="B796" s="3">
        <f>1</f>
        <v>1</v>
      </c>
      <c r="C796" s="1">
        <f>0</f>
        <v>0</v>
      </c>
      <c r="D796" s="1">
        <f>0</f>
        <v>0</v>
      </c>
      <c r="E796" s="1" t="s">
        <v>6</v>
      </c>
      <c r="F796" s="1" t="s">
        <v>32</v>
      </c>
      <c r="G796" s="5">
        <f>148</f>
        <v>148</v>
      </c>
      <c r="H796" s="7">
        <f t="shared" si="12"/>
        <v>0.06455749761180879</v>
      </c>
    </row>
    <row r="797" spans="1:8" ht="14.25" customHeight="1">
      <c r="A797" s="3">
        <f>3</f>
        <v>3</v>
      </c>
      <c r="B797" s="3">
        <f>1</f>
        <v>1</v>
      </c>
      <c r="C797" s="1">
        <f>0</f>
        <v>0</v>
      </c>
      <c r="D797" s="1">
        <f>0</f>
        <v>0</v>
      </c>
      <c r="E797" s="1" t="s">
        <v>714</v>
      </c>
      <c r="F797" s="1"/>
      <c r="G797" s="5">
        <f>850.6667</f>
        <v>850.6667</v>
      </c>
      <c r="H797" s="7">
        <f t="shared" si="12"/>
        <v>0.3710602260384815</v>
      </c>
    </row>
    <row r="798" spans="1:8" ht="14.25" customHeight="1">
      <c r="A798" s="3">
        <f>3</f>
        <v>3</v>
      </c>
      <c r="B798" s="3">
        <f>1</f>
        <v>1</v>
      </c>
      <c r="C798" s="1">
        <f>0</f>
        <v>0</v>
      </c>
      <c r="D798" s="1">
        <f>0</f>
        <v>0</v>
      </c>
      <c r="E798" s="1" t="s">
        <v>599</v>
      </c>
      <c r="F798" s="1"/>
      <c r="G798" s="5">
        <f>1700.5</f>
        <v>1700.5</v>
      </c>
      <c r="H798" s="7">
        <f t="shared" si="12"/>
        <v>0.7417569235735192</v>
      </c>
    </row>
    <row r="799" spans="1:8" ht="14.25" customHeight="1">
      <c r="A799" s="3">
        <f>3</f>
        <v>3</v>
      </c>
      <c r="B799" s="3">
        <f>1</f>
        <v>1</v>
      </c>
      <c r="C799" s="1">
        <f>0</f>
        <v>0</v>
      </c>
      <c r="D799" s="1">
        <f>0</f>
        <v>0</v>
      </c>
      <c r="E799" s="1" t="s">
        <v>945</v>
      </c>
      <c r="F799" s="1"/>
      <c r="G799" s="5">
        <f>94.5</f>
        <v>94.5</v>
      </c>
      <c r="H799" s="7">
        <f t="shared" si="12"/>
        <v>0.04122083462375629</v>
      </c>
    </row>
    <row r="800" spans="1:8" ht="14.25" customHeight="1">
      <c r="A800" s="3">
        <f>3</f>
        <v>3</v>
      </c>
      <c r="B800" s="3">
        <f>1</f>
        <v>1</v>
      </c>
      <c r="C800" s="1">
        <f>0</f>
        <v>0</v>
      </c>
      <c r="D800" s="1">
        <f>0</f>
        <v>0</v>
      </c>
      <c r="E800" s="1" t="s">
        <v>600</v>
      </c>
      <c r="F800" s="1"/>
      <c r="G800" s="5">
        <f>94.5</f>
        <v>94.5</v>
      </c>
      <c r="H800" s="7">
        <f t="shared" si="12"/>
        <v>0.04122083462375629</v>
      </c>
    </row>
    <row r="801" spans="1:8" ht="14.25" customHeight="1">
      <c r="A801" s="3">
        <f>3</f>
        <v>3</v>
      </c>
      <c r="B801" s="3">
        <f>1</f>
        <v>1</v>
      </c>
      <c r="C801" s="1">
        <f>0</f>
        <v>0</v>
      </c>
      <c r="D801" s="1">
        <f>0</f>
        <v>0</v>
      </c>
      <c r="E801" s="1" t="s">
        <v>972</v>
      </c>
      <c r="F801" s="1"/>
      <c r="G801" s="5">
        <f>14.2344</f>
        <v>14.2344</v>
      </c>
      <c r="H801" s="7">
        <f t="shared" si="12"/>
        <v>0.006209035432469805</v>
      </c>
    </row>
    <row r="802" spans="1:8" ht="14.25" customHeight="1">
      <c r="A802" s="3">
        <f>3</f>
        <v>3</v>
      </c>
      <c r="B802" s="3">
        <f>1</f>
        <v>1</v>
      </c>
      <c r="C802" s="1">
        <f>0</f>
        <v>0</v>
      </c>
      <c r="D802" s="1">
        <f>0</f>
        <v>0</v>
      </c>
      <c r="E802" s="1" t="s">
        <v>620</v>
      </c>
      <c r="F802" s="1"/>
      <c r="G802" s="5">
        <f>378</f>
        <v>378</v>
      </c>
      <c r="H802" s="7">
        <f t="shared" si="12"/>
        <v>0.16488333849502515</v>
      </c>
    </row>
    <row r="803" spans="1:8" ht="14.25" customHeight="1">
      <c r="A803" s="3">
        <f>0</f>
        <v>0</v>
      </c>
      <c r="B803" s="3">
        <f>1</f>
        <v>1</v>
      </c>
      <c r="C803" s="1">
        <f>0</f>
        <v>0</v>
      </c>
      <c r="D803" s="1">
        <f>0</f>
        <v>0</v>
      </c>
      <c r="E803" s="1" t="s">
        <v>307</v>
      </c>
      <c r="F803" s="1" t="s">
        <v>30</v>
      </c>
      <c r="G803" s="5">
        <f>854</f>
        <v>854</v>
      </c>
      <c r="H803" s="7">
        <f t="shared" si="12"/>
        <v>0.3725142091924642</v>
      </c>
    </row>
    <row r="804" spans="1:8" ht="14.25" customHeight="1">
      <c r="A804" s="3">
        <f>0</f>
        <v>0</v>
      </c>
      <c r="B804" s="3">
        <f>1</f>
        <v>1</v>
      </c>
      <c r="C804" s="1">
        <f>0</f>
        <v>0</v>
      </c>
      <c r="D804" s="1">
        <f>0</f>
        <v>0</v>
      </c>
      <c r="E804" s="1" t="s">
        <v>1227</v>
      </c>
      <c r="F804" s="1" t="s">
        <v>61</v>
      </c>
      <c r="G804" s="5">
        <f>115.5</f>
        <v>115.5</v>
      </c>
      <c r="H804" s="7">
        <f t="shared" si="12"/>
        <v>0.050381020095702125</v>
      </c>
    </row>
    <row r="805" spans="1:8" ht="14.25" customHeight="1">
      <c r="A805" s="3">
        <f>0</f>
        <v>0</v>
      </c>
      <c r="B805" s="3">
        <f>1</f>
        <v>1</v>
      </c>
      <c r="C805" s="1">
        <f>0</f>
        <v>0</v>
      </c>
      <c r="D805" s="1">
        <f>0</f>
        <v>0</v>
      </c>
      <c r="E805" s="1" t="s">
        <v>904</v>
      </c>
      <c r="F805" s="1" t="s">
        <v>116</v>
      </c>
      <c r="G805" s="5">
        <f>635.5556</f>
        <v>635.5556</v>
      </c>
      <c r="H805" s="7">
        <f t="shared" si="12"/>
        <v>0.27722891303494396</v>
      </c>
    </row>
    <row r="806" spans="1:8" ht="14.25" customHeight="1">
      <c r="A806" s="3">
        <f>3</f>
        <v>3</v>
      </c>
      <c r="B806" s="3">
        <f>1</f>
        <v>1</v>
      </c>
      <c r="C806" s="1">
        <f>0</f>
        <v>0</v>
      </c>
      <c r="D806" s="1">
        <f>0</f>
        <v>0</v>
      </c>
      <c r="E806" s="1" t="s">
        <v>621</v>
      </c>
      <c r="F806" s="1"/>
      <c r="G806" s="5">
        <f>118.125</f>
        <v>118.125</v>
      </c>
      <c r="H806" s="7">
        <f t="shared" si="12"/>
        <v>0.05152604327969536</v>
      </c>
    </row>
    <row r="807" spans="1:8" ht="14.25" customHeight="1">
      <c r="A807" s="3">
        <f>3</f>
        <v>3</v>
      </c>
      <c r="B807" s="3">
        <f>1</f>
        <v>1</v>
      </c>
      <c r="C807" s="1">
        <f>0</f>
        <v>0</v>
      </c>
      <c r="D807" s="1">
        <f>0</f>
        <v>0</v>
      </c>
      <c r="E807" s="1" t="s">
        <v>601</v>
      </c>
      <c r="F807" s="1"/>
      <c r="G807" s="5">
        <f>301</f>
        <v>301</v>
      </c>
      <c r="H807" s="7">
        <f t="shared" si="12"/>
        <v>0.13129599176455706</v>
      </c>
    </row>
    <row r="808" spans="1:8" ht="14.25" customHeight="1">
      <c r="A808" s="3">
        <f>3</f>
        <v>3</v>
      </c>
      <c r="B808" s="3">
        <f>1</f>
        <v>1</v>
      </c>
      <c r="C808" s="1">
        <f>0</f>
        <v>0</v>
      </c>
      <c r="D808" s="1">
        <f>0</f>
        <v>0</v>
      </c>
      <c r="E808" s="1" t="s">
        <v>177</v>
      </c>
      <c r="F808" s="1"/>
      <c r="G808" s="5">
        <f>111.6389</f>
        <v>111.6389</v>
      </c>
      <c r="H808" s="7">
        <f t="shared" si="12"/>
        <v>0.04869681094685784</v>
      </c>
    </row>
    <row r="809" spans="1:8" ht="14.25" customHeight="1">
      <c r="A809" s="3">
        <f>0</f>
        <v>0</v>
      </c>
      <c r="B809" s="3">
        <f>1</f>
        <v>1</v>
      </c>
      <c r="C809" s="1">
        <f>0</f>
        <v>0</v>
      </c>
      <c r="D809" s="1">
        <f>0</f>
        <v>0</v>
      </c>
      <c r="E809" s="1" t="s">
        <v>1379</v>
      </c>
      <c r="F809" s="1" t="s">
        <v>952</v>
      </c>
      <c r="G809" s="5">
        <f>469</f>
        <v>469</v>
      </c>
      <c r="H809" s="7">
        <f t="shared" si="12"/>
        <v>0.2045774755401238</v>
      </c>
    </row>
    <row r="810" spans="1:8" ht="14.25" customHeight="1">
      <c r="A810" s="3">
        <f>3</f>
        <v>3</v>
      </c>
      <c r="B810" s="3">
        <f>1</f>
        <v>1</v>
      </c>
      <c r="C810" s="1">
        <f>0</f>
        <v>0</v>
      </c>
      <c r="D810" s="1">
        <f>0</f>
        <v>0</v>
      </c>
      <c r="E810" s="1" t="s">
        <v>556</v>
      </c>
      <c r="F810" s="1"/>
      <c r="G810" s="5">
        <f>33</f>
        <v>33</v>
      </c>
      <c r="H810" s="7">
        <f t="shared" si="12"/>
        <v>0.014394577170200607</v>
      </c>
    </row>
    <row r="811" spans="1:8" ht="14.25" customHeight="1">
      <c r="A811" s="3">
        <f>0</f>
        <v>0</v>
      </c>
      <c r="B811" s="3">
        <f>1</f>
        <v>1</v>
      </c>
      <c r="C811" s="1">
        <f>0</f>
        <v>0</v>
      </c>
      <c r="D811" s="1">
        <f>0</f>
        <v>0</v>
      </c>
      <c r="E811" s="1" t="s">
        <v>800</v>
      </c>
      <c r="F811" s="1" t="s">
        <v>156</v>
      </c>
      <c r="G811" s="5">
        <f>305.4348</f>
        <v>305.4348</v>
      </c>
      <c r="H811" s="7">
        <f t="shared" si="12"/>
        <v>0.13323044845650875</v>
      </c>
    </row>
    <row r="812" spans="1:8" ht="14.25" customHeight="1">
      <c r="A812" s="3">
        <f>0</f>
        <v>0</v>
      </c>
      <c r="B812" s="3">
        <f>1</f>
        <v>1</v>
      </c>
      <c r="C812" s="1">
        <f>0</f>
        <v>0</v>
      </c>
      <c r="D812" s="1">
        <f>0</f>
        <v>0</v>
      </c>
      <c r="E812" s="1" t="s">
        <v>1254</v>
      </c>
      <c r="F812" s="1" t="s">
        <v>1446</v>
      </c>
      <c r="G812" s="5">
        <f>197.6</f>
        <v>197.6</v>
      </c>
      <c r="H812" s="7">
        <f t="shared" si="12"/>
        <v>0.08619298329792849</v>
      </c>
    </row>
    <row r="813" spans="1:8" ht="14.25" customHeight="1">
      <c r="A813" s="3">
        <f>0</f>
        <v>0</v>
      </c>
      <c r="B813" s="3">
        <f>1</f>
        <v>1</v>
      </c>
      <c r="C813" s="1">
        <f>0</f>
        <v>0</v>
      </c>
      <c r="D813" s="1">
        <f>0</f>
        <v>0</v>
      </c>
      <c r="E813" s="1" t="s">
        <v>546</v>
      </c>
      <c r="F813" s="1" t="s">
        <v>529</v>
      </c>
      <c r="G813" s="5">
        <f>48.75</f>
        <v>48.75</v>
      </c>
      <c r="H813" s="7">
        <f t="shared" si="12"/>
        <v>0.02126471627415999</v>
      </c>
    </row>
    <row r="814" spans="1:8" ht="14.25" customHeight="1">
      <c r="A814" s="3">
        <f>3</f>
        <v>3</v>
      </c>
      <c r="B814" s="3">
        <f>1</f>
        <v>1</v>
      </c>
      <c r="C814" s="1">
        <f>0</f>
        <v>0</v>
      </c>
      <c r="D814" s="1">
        <f>0</f>
        <v>0</v>
      </c>
      <c r="E814" s="1" t="s">
        <v>845</v>
      </c>
      <c r="F814" s="1"/>
      <c r="G814" s="5">
        <f>149.4</f>
        <v>149.4</v>
      </c>
      <c r="H814" s="7">
        <f t="shared" si="12"/>
        <v>0.06516817664327185</v>
      </c>
    </row>
    <row r="815" spans="1:8" ht="14.25" customHeight="1">
      <c r="A815" s="3">
        <f>0</f>
        <v>0</v>
      </c>
      <c r="B815" s="3">
        <f>1</f>
        <v>1</v>
      </c>
      <c r="C815" s="1">
        <f>0</f>
        <v>0</v>
      </c>
      <c r="D815" s="1">
        <f>0</f>
        <v>0</v>
      </c>
      <c r="E815" s="1" t="s">
        <v>1598</v>
      </c>
      <c r="F815" s="1" t="s">
        <v>671</v>
      </c>
      <c r="G815" s="5">
        <f>32.2375</f>
        <v>32.2375</v>
      </c>
      <c r="H815" s="7">
        <f t="shared" si="12"/>
        <v>0.014061975197707334</v>
      </c>
    </row>
    <row r="816" spans="1:8" ht="14.25" customHeight="1">
      <c r="A816" s="3">
        <f>3</f>
        <v>3</v>
      </c>
      <c r="B816" s="3">
        <f>1</f>
        <v>1</v>
      </c>
      <c r="C816" s="1">
        <f>0</f>
        <v>0</v>
      </c>
      <c r="D816" s="1">
        <f>0</f>
        <v>0</v>
      </c>
      <c r="E816" s="1" t="s">
        <v>1199</v>
      </c>
      <c r="F816" s="1"/>
      <c r="G816" s="5">
        <f>115.8128</f>
        <v>115.8128</v>
      </c>
      <c r="H816" s="7">
        <f t="shared" si="12"/>
        <v>0.0505174632393033</v>
      </c>
    </row>
    <row r="817" spans="1:8" ht="14.25" customHeight="1">
      <c r="A817" s="3">
        <f>3</f>
        <v>3</v>
      </c>
      <c r="B817" s="3">
        <f>1</f>
        <v>1</v>
      </c>
      <c r="C817" s="1">
        <f>0</f>
        <v>0</v>
      </c>
      <c r="D817" s="1">
        <f>0</f>
        <v>0</v>
      </c>
      <c r="E817" s="1" t="s">
        <v>1312</v>
      </c>
      <c r="F817" s="1"/>
      <c r="G817" s="5">
        <f>31.1722</f>
        <v>31.1722</v>
      </c>
      <c r="H817" s="7">
        <f t="shared" si="12"/>
        <v>0.01359729207469477</v>
      </c>
    </row>
    <row r="818" spans="1:8" ht="14.25" customHeight="1">
      <c r="A818" s="3">
        <f>0</f>
        <v>0</v>
      </c>
      <c r="B818" s="3">
        <f>1</f>
        <v>1</v>
      </c>
      <c r="C818" s="1">
        <f>0</f>
        <v>0</v>
      </c>
      <c r="D818" s="1">
        <f>0</f>
        <v>0</v>
      </c>
      <c r="E818" s="1" t="s">
        <v>390</v>
      </c>
      <c r="F818" s="1" t="s">
        <v>372</v>
      </c>
      <c r="G818" s="5">
        <f>48.5</f>
        <v>48.5</v>
      </c>
      <c r="H818" s="7">
        <f t="shared" si="12"/>
        <v>0.021155666447113013</v>
      </c>
    </row>
    <row r="819" spans="1:8" ht="14.25" customHeight="1">
      <c r="A819" s="3">
        <f>3</f>
        <v>3</v>
      </c>
      <c r="B819" s="3">
        <f>1</f>
        <v>1</v>
      </c>
      <c r="C819" s="1">
        <f>0</f>
        <v>0</v>
      </c>
      <c r="D819" s="1">
        <f>0</f>
        <v>0</v>
      </c>
      <c r="E819" s="1" t="s">
        <v>1200</v>
      </c>
      <c r="F819" s="1"/>
      <c r="G819" s="5">
        <f>5.5</f>
        <v>5.5</v>
      </c>
      <c r="H819" s="7">
        <f t="shared" si="12"/>
        <v>0.0023990961950334346</v>
      </c>
    </row>
    <row r="820" spans="1:8" ht="14.25" customHeight="1">
      <c r="A820" s="3">
        <f>3</f>
        <v>3</v>
      </c>
      <c r="B820" s="3">
        <f>1</f>
        <v>1</v>
      </c>
      <c r="C820" s="1">
        <f>0</f>
        <v>0</v>
      </c>
      <c r="D820" s="1">
        <f>0</f>
        <v>0</v>
      </c>
      <c r="E820" s="1" t="s">
        <v>1279</v>
      </c>
      <c r="F820" s="1"/>
      <c r="G820" s="5">
        <f>167.25</f>
        <v>167.25</v>
      </c>
      <c r="H820" s="7">
        <f t="shared" si="12"/>
        <v>0.07295433429442581</v>
      </c>
    </row>
    <row r="821" spans="1:8" ht="14.25" customHeight="1">
      <c r="A821" s="3">
        <f>3</f>
        <v>3</v>
      </c>
      <c r="B821" s="3">
        <f>1</f>
        <v>1</v>
      </c>
      <c r="C821" s="1">
        <f>0</f>
        <v>0</v>
      </c>
      <c r="D821" s="1">
        <f>0</f>
        <v>0</v>
      </c>
      <c r="E821" s="1" t="s">
        <v>1118</v>
      </c>
      <c r="F821" s="1"/>
      <c r="G821" s="5">
        <f>123.4667</f>
        <v>123.4667</v>
      </c>
      <c r="H821" s="7">
        <f t="shared" si="12"/>
        <v>0.05385608912424265</v>
      </c>
    </row>
    <row r="822" spans="1:8" ht="14.25" customHeight="1">
      <c r="A822" s="3">
        <f>3</f>
        <v>3</v>
      </c>
      <c r="B822" s="3">
        <f>1</f>
        <v>1</v>
      </c>
      <c r="C822" s="1">
        <f>0</f>
        <v>0</v>
      </c>
      <c r="D822" s="1">
        <f>0</f>
        <v>0</v>
      </c>
      <c r="E822" s="1" t="s">
        <v>1422</v>
      </c>
      <c r="F822" s="1"/>
      <c r="G822" s="5">
        <f>70.95</f>
        <v>70.95</v>
      </c>
      <c r="H822" s="7">
        <f t="shared" si="12"/>
        <v>0.030948340915931308</v>
      </c>
    </row>
    <row r="823" spans="1:8" ht="14.25" customHeight="1">
      <c r="A823" s="3">
        <f>3</f>
        <v>3</v>
      </c>
      <c r="B823" s="3">
        <f>1</f>
        <v>1</v>
      </c>
      <c r="C823" s="1">
        <f>0</f>
        <v>0</v>
      </c>
      <c r="D823" s="1">
        <f>0</f>
        <v>0</v>
      </c>
      <c r="E823" s="1" t="s">
        <v>1336</v>
      </c>
      <c r="F823" s="1"/>
      <c r="G823" s="5">
        <f>321.9</f>
        <v>321.9</v>
      </c>
      <c r="H823" s="7">
        <f t="shared" si="12"/>
        <v>0.1404125573056841</v>
      </c>
    </row>
    <row r="824" spans="1:8" ht="14.25" customHeight="1">
      <c r="A824" s="3">
        <f>3</f>
        <v>3</v>
      </c>
      <c r="B824" s="3">
        <f>1</f>
        <v>1</v>
      </c>
      <c r="C824" s="1">
        <f>0</f>
        <v>0</v>
      </c>
      <c r="D824" s="1">
        <f>0</f>
        <v>0</v>
      </c>
      <c r="E824" s="1" t="s">
        <v>1337</v>
      </c>
      <c r="F824" s="1"/>
      <c r="G824" s="5">
        <f>58.9025</f>
        <v>58.9025</v>
      </c>
      <c r="H824" s="7">
        <f t="shared" si="12"/>
        <v>0.025693229750537616</v>
      </c>
    </row>
    <row r="825" spans="1:8" ht="14.25" customHeight="1">
      <c r="A825" s="3">
        <f>3</f>
        <v>3</v>
      </c>
      <c r="B825" s="3">
        <f>1</f>
        <v>1</v>
      </c>
      <c r="C825" s="1">
        <f>0</f>
        <v>0</v>
      </c>
      <c r="D825" s="1">
        <f>0</f>
        <v>0</v>
      </c>
      <c r="E825" s="1" t="s">
        <v>1467</v>
      </c>
      <c r="F825" s="1"/>
      <c r="G825" s="5">
        <f>29.2</f>
        <v>29.2</v>
      </c>
      <c r="H825" s="7">
        <f t="shared" si="12"/>
        <v>0.012737019799086598</v>
      </c>
    </row>
    <row r="826" spans="1:8" ht="14.25" customHeight="1">
      <c r="A826" s="3">
        <f>3</f>
        <v>3</v>
      </c>
      <c r="B826" s="3">
        <f>1</f>
        <v>1</v>
      </c>
      <c r="C826" s="1">
        <f>0</f>
        <v>0</v>
      </c>
      <c r="D826" s="1">
        <f>0</f>
        <v>0</v>
      </c>
      <c r="E826" s="1" t="s">
        <v>1466</v>
      </c>
      <c r="F826" s="1"/>
      <c r="G826" s="5">
        <f>70.95</f>
        <v>70.95</v>
      </c>
      <c r="H826" s="7">
        <f t="shared" si="12"/>
        <v>0.030948340915931308</v>
      </c>
    </row>
    <row r="827" spans="1:8" ht="14.25" customHeight="1">
      <c r="A827" s="3">
        <f>3</f>
        <v>3</v>
      </c>
      <c r="B827" s="3">
        <f>1</f>
        <v>1</v>
      </c>
      <c r="C827" s="1">
        <f>0</f>
        <v>0</v>
      </c>
      <c r="D827" s="1">
        <f>0</f>
        <v>0</v>
      </c>
      <c r="E827" s="1" t="s">
        <v>1313</v>
      </c>
      <c r="F827" s="1"/>
      <c r="G827" s="5">
        <f>2.6667</f>
        <v>2.6667</v>
      </c>
      <c r="H827" s="7">
        <f t="shared" si="12"/>
        <v>0.0011632126951446654</v>
      </c>
    </row>
    <row r="828" spans="1:8" ht="14.25" customHeight="1">
      <c r="A828" s="3">
        <f>0</f>
        <v>0</v>
      </c>
      <c r="B828" s="3">
        <f>1</f>
        <v>1</v>
      </c>
      <c r="C828" s="1">
        <f>0</f>
        <v>0</v>
      </c>
      <c r="D828" s="1">
        <f>0</f>
        <v>0</v>
      </c>
      <c r="E828" s="1" t="s">
        <v>525</v>
      </c>
      <c r="F828" s="1" t="s">
        <v>404</v>
      </c>
      <c r="G828" s="5">
        <f>141.8199</f>
        <v>141.8199</v>
      </c>
      <c r="H828" s="7">
        <f t="shared" si="12"/>
        <v>0.06186174226727676</v>
      </c>
    </row>
    <row r="829" spans="1:8" ht="14.25" customHeight="1">
      <c r="A829" s="3">
        <f>3</f>
        <v>3</v>
      </c>
      <c r="B829" s="3">
        <f>1</f>
        <v>1</v>
      </c>
      <c r="C829" s="1">
        <f>0</f>
        <v>0</v>
      </c>
      <c r="D829" s="1">
        <f>0</f>
        <v>0</v>
      </c>
      <c r="E829" s="1" t="s">
        <v>883</v>
      </c>
      <c r="F829" s="1"/>
      <c r="G829" s="5">
        <f>8.8125</f>
        <v>8.8125</v>
      </c>
      <c r="H829" s="7">
        <f t="shared" si="12"/>
        <v>0.003844006403405844</v>
      </c>
    </row>
    <row r="830" spans="1:8" ht="14.25" customHeight="1">
      <c r="A830" s="3">
        <f>3</f>
        <v>3</v>
      </c>
      <c r="B830" s="3">
        <f>1</f>
        <v>1</v>
      </c>
      <c r="C830" s="1">
        <f>0</f>
        <v>0</v>
      </c>
      <c r="D830" s="1">
        <f>0</f>
        <v>0</v>
      </c>
      <c r="E830" s="1" t="s">
        <v>1244</v>
      </c>
      <c r="F830" s="1"/>
      <c r="G830" s="5">
        <f>31.1722</f>
        <v>31.1722</v>
      </c>
      <c r="H830" s="7">
        <f t="shared" si="12"/>
        <v>0.01359729207469477</v>
      </c>
    </row>
    <row r="831" spans="1:8" ht="14.25" customHeight="1">
      <c r="A831" s="3">
        <f>3</f>
        <v>3</v>
      </c>
      <c r="B831" s="3">
        <f>1</f>
        <v>1</v>
      </c>
      <c r="C831" s="1">
        <f>0</f>
        <v>0</v>
      </c>
      <c r="D831" s="1">
        <f>0</f>
        <v>0</v>
      </c>
      <c r="E831" s="1" t="s">
        <v>884</v>
      </c>
      <c r="F831" s="1"/>
      <c r="G831" s="5">
        <f>22.75</f>
        <v>22.75</v>
      </c>
      <c r="H831" s="7">
        <f t="shared" si="12"/>
        <v>0.009923534261274661</v>
      </c>
    </row>
    <row r="832" spans="1:8" ht="14.25" customHeight="1">
      <c r="A832" s="3">
        <f>3</f>
        <v>3</v>
      </c>
      <c r="B832" s="3">
        <f>1</f>
        <v>1</v>
      </c>
      <c r="C832" s="1">
        <f>0</f>
        <v>0</v>
      </c>
      <c r="D832" s="1">
        <f>0</f>
        <v>0</v>
      </c>
      <c r="E832" s="1" t="s">
        <v>1088</v>
      </c>
      <c r="F832" s="1"/>
      <c r="G832" s="5">
        <f>26.25</f>
        <v>26.25</v>
      </c>
      <c r="H832" s="7">
        <f t="shared" si="12"/>
        <v>0.0114502318399323</v>
      </c>
    </row>
    <row r="833" spans="1:8" ht="14.25" customHeight="1">
      <c r="A833" s="3">
        <f>3</f>
        <v>3</v>
      </c>
      <c r="B833" s="3">
        <f>1</f>
        <v>1</v>
      </c>
      <c r="C833" s="1">
        <f>0</f>
        <v>0</v>
      </c>
      <c r="D833" s="1">
        <f>0</f>
        <v>0</v>
      </c>
      <c r="E833" s="1" t="s">
        <v>1089</v>
      </c>
      <c r="F833" s="1"/>
      <c r="G833" s="5">
        <f>32.55</f>
        <v>32.55</v>
      </c>
      <c r="H833" s="7">
        <f t="shared" si="12"/>
        <v>0.014198287481516053</v>
      </c>
    </row>
    <row r="834" spans="1:8" ht="14.25" customHeight="1">
      <c r="A834" s="3">
        <f>3</f>
        <v>3</v>
      </c>
      <c r="B834" s="3">
        <f>1</f>
        <v>1</v>
      </c>
      <c r="C834" s="1">
        <f>0</f>
        <v>0</v>
      </c>
      <c r="D834" s="1">
        <f>0</f>
        <v>0</v>
      </c>
      <c r="E834" s="1" t="s">
        <v>885</v>
      </c>
      <c r="F834" s="1"/>
      <c r="G834" s="5">
        <f>11.625</f>
        <v>11.625</v>
      </c>
      <c r="H834" s="7">
        <f aca="true" t="shared" si="13" ref="H834:H897">SUM(100/229253*G$1:G$65536)</f>
        <v>0.005070816957684305</v>
      </c>
    </row>
    <row r="835" spans="1:8" ht="14.25" customHeight="1">
      <c r="A835" s="3">
        <f>3</f>
        <v>3</v>
      </c>
      <c r="B835" s="3">
        <f>1</f>
        <v>1</v>
      </c>
      <c r="C835" s="1">
        <f>0</f>
        <v>0</v>
      </c>
      <c r="D835" s="1">
        <f>0</f>
        <v>0</v>
      </c>
      <c r="E835" s="1" t="s">
        <v>1554</v>
      </c>
      <c r="F835" s="1"/>
      <c r="G835" s="5">
        <f>23.65</f>
        <v>23.65</v>
      </c>
      <c r="H835" s="7">
        <f t="shared" si="13"/>
        <v>0.010316113638643768</v>
      </c>
    </row>
    <row r="836" spans="1:8" ht="14.25" customHeight="1">
      <c r="A836" s="3">
        <f>3</f>
        <v>3</v>
      </c>
      <c r="B836" s="3">
        <f>1</f>
        <v>1</v>
      </c>
      <c r="C836" s="1">
        <f>0</f>
        <v>0</v>
      </c>
      <c r="D836" s="1">
        <f>0</f>
        <v>0</v>
      </c>
      <c r="E836" s="1" t="s">
        <v>1423</v>
      </c>
      <c r="F836" s="1"/>
      <c r="G836" s="5">
        <f>58.9025</f>
        <v>58.9025</v>
      </c>
      <c r="H836" s="7">
        <f t="shared" si="13"/>
        <v>0.025693229750537616</v>
      </c>
    </row>
    <row r="837" spans="1:8" ht="14.25" customHeight="1">
      <c r="A837" s="3">
        <f>3</f>
        <v>3</v>
      </c>
      <c r="B837" s="3">
        <f>1</f>
        <v>1</v>
      </c>
      <c r="C837" s="1">
        <f>0</f>
        <v>0</v>
      </c>
      <c r="D837" s="1">
        <f>0</f>
        <v>0</v>
      </c>
      <c r="E837" s="1" t="s">
        <v>7</v>
      </c>
      <c r="F837" s="1"/>
      <c r="G837" s="5">
        <f>22.7</f>
        <v>22.7</v>
      </c>
      <c r="H837" s="7">
        <f t="shared" si="13"/>
        <v>0.009901724295865267</v>
      </c>
    </row>
    <row r="838" spans="1:8" ht="14.25" customHeight="1">
      <c r="A838" s="3">
        <f>3</f>
        <v>3</v>
      </c>
      <c r="B838" s="3">
        <f>1</f>
        <v>1</v>
      </c>
      <c r="C838" s="1">
        <f>0</f>
        <v>0</v>
      </c>
      <c r="D838" s="1">
        <f>0</f>
        <v>0</v>
      </c>
      <c r="E838" s="1" t="s">
        <v>8</v>
      </c>
      <c r="F838" s="1"/>
      <c r="G838" s="5">
        <f>18.5667</f>
        <v>18.5667</v>
      </c>
      <c r="H838" s="7">
        <f t="shared" si="13"/>
        <v>0.008098781695332232</v>
      </c>
    </row>
    <row r="839" spans="1:8" ht="14.25" customHeight="1">
      <c r="A839" s="3">
        <f>3</f>
        <v>3</v>
      </c>
      <c r="B839" s="3">
        <f>1</f>
        <v>1</v>
      </c>
      <c r="C839" s="1">
        <f>0</f>
        <v>0</v>
      </c>
      <c r="D839" s="1">
        <f>0</f>
        <v>0</v>
      </c>
      <c r="E839" s="1" t="s">
        <v>9</v>
      </c>
      <c r="F839" s="1"/>
      <c r="G839" s="5">
        <f>17.65</f>
        <v>17.65</v>
      </c>
      <c r="H839" s="7">
        <f t="shared" si="13"/>
        <v>0.007698917789516385</v>
      </c>
    </row>
    <row r="840" spans="1:8" ht="14.25" customHeight="1">
      <c r="A840" s="3">
        <f>3</f>
        <v>3</v>
      </c>
      <c r="B840" s="3">
        <f>1</f>
        <v>1</v>
      </c>
      <c r="C840" s="1">
        <f>0</f>
        <v>0</v>
      </c>
      <c r="D840" s="1">
        <f>0</f>
        <v>0</v>
      </c>
      <c r="E840" s="1" t="s">
        <v>1424</v>
      </c>
      <c r="F840" s="1"/>
      <c r="G840" s="5">
        <f>58.9025</f>
        <v>58.9025</v>
      </c>
      <c r="H840" s="7">
        <f t="shared" si="13"/>
        <v>0.025693229750537616</v>
      </c>
    </row>
    <row r="841" spans="1:8" ht="14.25" customHeight="1">
      <c r="A841" s="3">
        <f>3</f>
        <v>3</v>
      </c>
      <c r="B841" s="3">
        <f>1</f>
        <v>1</v>
      </c>
      <c r="C841" s="1">
        <f>0</f>
        <v>0</v>
      </c>
      <c r="D841" s="1">
        <f>0</f>
        <v>0</v>
      </c>
      <c r="E841" s="1" t="s">
        <v>1555</v>
      </c>
      <c r="F841" s="1"/>
      <c r="G841" s="5">
        <f>2.6667</f>
        <v>2.6667</v>
      </c>
      <c r="H841" s="7">
        <f t="shared" si="13"/>
        <v>0.0011632126951446654</v>
      </c>
    </row>
    <row r="842" spans="1:8" ht="14.25" customHeight="1">
      <c r="A842" s="3">
        <f>3</f>
        <v>3</v>
      </c>
      <c r="B842" s="3">
        <f>1</f>
        <v>1</v>
      </c>
      <c r="C842" s="1">
        <f>0</f>
        <v>0</v>
      </c>
      <c r="D842" s="1">
        <f>0</f>
        <v>0</v>
      </c>
      <c r="E842" s="1" t="s">
        <v>48</v>
      </c>
      <c r="F842" s="1"/>
      <c r="G842" s="5">
        <f>2.6667</f>
        <v>2.6667</v>
      </c>
      <c r="H842" s="7">
        <f t="shared" si="13"/>
        <v>0.0011632126951446654</v>
      </c>
    </row>
    <row r="843" spans="1:8" ht="14.25" customHeight="1">
      <c r="A843" s="3">
        <f>3</f>
        <v>3</v>
      </c>
      <c r="B843" s="3">
        <f>1</f>
        <v>1</v>
      </c>
      <c r="C843" s="1">
        <f>0</f>
        <v>0</v>
      </c>
      <c r="D843" s="1">
        <f>0</f>
        <v>0</v>
      </c>
      <c r="E843" s="1" t="s">
        <v>512</v>
      </c>
      <c r="F843" s="1"/>
      <c r="G843" s="5">
        <f>126.2232</f>
        <v>126.2232</v>
      </c>
      <c r="H843" s="7">
        <f t="shared" si="13"/>
        <v>0.05505847251726259</v>
      </c>
    </row>
    <row r="844" spans="1:8" ht="14.25" customHeight="1">
      <c r="A844" s="3">
        <f>3</f>
        <v>3</v>
      </c>
      <c r="B844" s="3">
        <f>1</f>
        <v>1</v>
      </c>
      <c r="C844" s="1">
        <f>0</f>
        <v>0</v>
      </c>
      <c r="D844" s="1">
        <f>0</f>
        <v>0</v>
      </c>
      <c r="E844" s="1" t="s">
        <v>10</v>
      </c>
      <c r="F844" s="1"/>
      <c r="G844" s="5">
        <f>6.1753</f>
        <v>6.1753</v>
      </c>
      <c r="H844" s="7">
        <f t="shared" si="13"/>
        <v>0.0026936615878527218</v>
      </c>
    </row>
    <row r="845" spans="1:8" ht="14.25" customHeight="1">
      <c r="A845" s="3">
        <f>3</f>
        <v>3</v>
      </c>
      <c r="B845" s="3">
        <f>1</f>
        <v>1</v>
      </c>
      <c r="C845" s="1">
        <f>0</f>
        <v>0</v>
      </c>
      <c r="D845" s="1">
        <f>0</f>
        <v>0</v>
      </c>
      <c r="E845" s="1" t="s">
        <v>200</v>
      </c>
      <c r="F845" s="1"/>
      <c r="G845" s="5">
        <f>10.3333</f>
        <v>10.3333</v>
      </c>
      <c r="H845" s="7">
        <f t="shared" si="13"/>
        <v>0.004507378311297998</v>
      </c>
    </row>
    <row r="846" spans="1:8" ht="14.25" customHeight="1">
      <c r="A846" s="3">
        <f>3</f>
        <v>3</v>
      </c>
      <c r="B846" s="3">
        <f>1</f>
        <v>1</v>
      </c>
      <c r="C846" s="1">
        <f>0</f>
        <v>0</v>
      </c>
      <c r="D846" s="1">
        <f>0</f>
        <v>0</v>
      </c>
      <c r="E846" s="1" t="s">
        <v>253</v>
      </c>
      <c r="F846" s="1"/>
      <c r="G846" s="5">
        <f>85.14</f>
        <v>85.14</v>
      </c>
      <c r="H846" s="7">
        <f t="shared" si="13"/>
        <v>0.03713800909911757</v>
      </c>
    </row>
    <row r="847" spans="1:8" ht="14.25" customHeight="1">
      <c r="A847" s="3">
        <f>3</f>
        <v>3</v>
      </c>
      <c r="B847" s="3">
        <f>1</f>
        <v>1</v>
      </c>
      <c r="C847" s="1">
        <f>0</f>
        <v>0</v>
      </c>
      <c r="D847" s="1">
        <f>0</f>
        <v>0</v>
      </c>
      <c r="E847" s="1" t="s">
        <v>526</v>
      </c>
      <c r="F847" s="1"/>
      <c r="G847" s="5">
        <f>0.9167</f>
        <v>0.9167</v>
      </c>
      <c r="H847" s="7">
        <f t="shared" si="13"/>
        <v>0.0003998639058158453</v>
      </c>
    </row>
    <row r="848" spans="1:8" ht="14.25" customHeight="1">
      <c r="A848" s="3">
        <f>0</f>
        <v>0</v>
      </c>
      <c r="B848" s="3">
        <f>1</f>
        <v>1</v>
      </c>
      <c r="C848" s="1">
        <f>0</f>
        <v>0</v>
      </c>
      <c r="D848" s="1">
        <f>0</f>
        <v>0</v>
      </c>
      <c r="E848" s="1" t="s">
        <v>481</v>
      </c>
      <c r="F848" s="1" t="s">
        <v>27</v>
      </c>
      <c r="G848" s="5">
        <f>160.6233</f>
        <v>160.6233</v>
      </c>
      <c r="H848" s="7">
        <f t="shared" si="13"/>
        <v>0.07006377233885706</v>
      </c>
    </row>
    <row r="849" spans="1:8" ht="14.25" customHeight="1">
      <c r="A849" s="3">
        <f>3</f>
        <v>3</v>
      </c>
      <c r="B849" s="3">
        <f>1</f>
        <v>1</v>
      </c>
      <c r="C849" s="1">
        <f>0</f>
        <v>0</v>
      </c>
      <c r="D849" s="1">
        <f>0</f>
        <v>0</v>
      </c>
      <c r="E849" s="1" t="s">
        <v>1366</v>
      </c>
      <c r="F849" s="1"/>
      <c r="G849" s="5">
        <f>70.5</f>
        <v>70.5</v>
      </c>
      <c r="H849" s="7">
        <f t="shared" si="13"/>
        <v>0.03075205122724675</v>
      </c>
    </row>
    <row r="850" spans="1:8" ht="14.25" customHeight="1">
      <c r="A850" s="3">
        <f>0</f>
        <v>0</v>
      </c>
      <c r="B850" s="3">
        <f>1</f>
        <v>1</v>
      </c>
      <c r="C850" s="1">
        <f>0</f>
        <v>0</v>
      </c>
      <c r="D850" s="1">
        <f>0</f>
        <v>0</v>
      </c>
      <c r="E850" s="1" t="s">
        <v>364</v>
      </c>
      <c r="F850" s="1" t="s">
        <v>1128</v>
      </c>
      <c r="G850" s="5">
        <f>60.025</f>
        <v>60.025</v>
      </c>
      <c r="H850" s="7">
        <f t="shared" si="13"/>
        <v>0.026182863473978527</v>
      </c>
    </row>
    <row r="851" spans="1:8" ht="14.25" customHeight="1">
      <c r="A851" s="3">
        <f>0</f>
        <v>0</v>
      </c>
      <c r="B851" s="3">
        <f>1</f>
        <v>1</v>
      </c>
      <c r="C851" s="1">
        <f>0</f>
        <v>0</v>
      </c>
      <c r="D851" s="1">
        <f>0</f>
        <v>0</v>
      </c>
      <c r="E851" s="1" t="s">
        <v>254</v>
      </c>
      <c r="F851" s="1" t="s">
        <v>375</v>
      </c>
      <c r="G851" s="5">
        <f>17.5708</f>
        <v>17.5708</v>
      </c>
      <c r="H851" s="7">
        <f t="shared" si="13"/>
        <v>0.0076643708043079035</v>
      </c>
    </row>
    <row r="852" spans="1:8" ht="14.25" customHeight="1">
      <c r="A852" s="3">
        <f>3</f>
        <v>3</v>
      </c>
      <c r="B852" s="3">
        <f>1</f>
        <v>1</v>
      </c>
      <c r="C852" s="1">
        <f>0</f>
        <v>0</v>
      </c>
      <c r="D852" s="1">
        <f>0</f>
        <v>0</v>
      </c>
      <c r="E852" s="1" t="s">
        <v>1314</v>
      </c>
      <c r="F852" s="1"/>
      <c r="G852" s="5">
        <f>5.9375</f>
        <v>5.9375</v>
      </c>
      <c r="H852" s="7">
        <f t="shared" si="13"/>
        <v>0.0025899333923656395</v>
      </c>
    </row>
    <row r="853" spans="1:8" ht="14.25" customHeight="1">
      <c r="A853" s="3">
        <f>3</f>
        <v>3</v>
      </c>
      <c r="B853" s="3">
        <f>1</f>
        <v>1</v>
      </c>
      <c r="C853" s="1">
        <f>0</f>
        <v>0</v>
      </c>
      <c r="D853" s="1">
        <f>0</f>
        <v>0</v>
      </c>
      <c r="E853" s="1" t="s">
        <v>1002</v>
      </c>
      <c r="F853" s="1"/>
      <c r="G853" s="5">
        <f>72.2222</f>
        <v>72.2222</v>
      </c>
      <c r="H853" s="7">
        <f t="shared" si="13"/>
        <v>0.03150327367580795</v>
      </c>
    </row>
    <row r="854" spans="1:8" ht="14.25" customHeight="1">
      <c r="A854" s="3">
        <f>3</f>
        <v>3</v>
      </c>
      <c r="B854" s="3">
        <f>1</f>
        <v>1</v>
      </c>
      <c r="C854" s="1">
        <f>0</f>
        <v>0</v>
      </c>
      <c r="D854" s="1">
        <f>0</f>
        <v>0</v>
      </c>
      <c r="E854" s="1" t="s">
        <v>1338</v>
      </c>
      <c r="F854" s="1"/>
      <c r="G854" s="5">
        <f>5.9375</f>
        <v>5.9375</v>
      </c>
      <c r="H854" s="7">
        <f t="shared" si="13"/>
        <v>0.0025899333923656395</v>
      </c>
    </row>
    <row r="855" spans="1:8" ht="14.25" customHeight="1">
      <c r="A855" s="3">
        <f>3</f>
        <v>3</v>
      </c>
      <c r="B855" s="3">
        <f>1</f>
        <v>1</v>
      </c>
      <c r="C855" s="1">
        <f>0</f>
        <v>0</v>
      </c>
      <c r="D855" s="1">
        <f>0</f>
        <v>0</v>
      </c>
      <c r="E855" s="1" t="s">
        <v>101</v>
      </c>
      <c r="F855" s="1"/>
      <c r="G855" s="5">
        <f>25.875</f>
        <v>25.875</v>
      </c>
      <c r="H855" s="7">
        <f t="shared" si="13"/>
        <v>0.01128665709936184</v>
      </c>
    </row>
    <row r="856" spans="1:8" ht="14.25" customHeight="1">
      <c r="A856" s="3">
        <f>3</f>
        <v>3</v>
      </c>
      <c r="B856" s="3">
        <f>1</f>
        <v>1</v>
      </c>
      <c r="C856" s="1">
        <f>0</f>
        <v>0</v>
      </c>
      <c r="D856" s="1">
        <f>0</f>
        <v>0</v>
      </c>
      <c r="E856" s="1" t="s">
        <v>1003</v>
      </c>
      <c r="F856" s="1"/>
      <c r="G856" s="5">
        <f>178.2222</f>
        <v>178.2222</v>
      </c>
      <c r="H856" s="7">
        <f t="shared" si="13"/>
        <v>0.07774040034372505</v>
      </c>
    </row>
    <row r="857" spans="1:8" ht="14.25" customHeight="1">
      <c r="A857" s="3">
        <f>3</f>
        <v>3</v>
      </c>
      <c r="B857" s="3">
        <f>1</f>
        <v>1</v>
      </c>
      <c r="C857" s="1">
        <f>0</f>
        <v>0</v>
      </c>
      <c r="D857" s="1">
        <f>0</f>
        <v>0</v>
      </c>
      <c r="E857" s="1" t="s">
        <v>574</v>
      </c>
      <c r="F857" s="1"/>
      <c r="G857" s="5">
        <f>187.7667</f>
        <v>187.7667</v>
      </c>
      <c r="H857" s="7">
        <f t="shared" si="13"/>
        <v>0.08190370464072443</v>
      </c>
    </row>
    <row r="858" spans="1:8" ht="14.25" customHeight="1">
      <c r="A858" s="3">
        <f>3</f>
        <v>3</v>
      </c>
      <c r="B858" s="3">
        <f>1</f>
        <v>1</v>
      </c>
      <c r="C858" s="1">
        <f>0</f>
        <v>0</v>
      </c>
      <c r="D858" s="1">
        <f>0</f>
        <v>0</v>
      </c>
      <c r="E858" s="1" t="s">
        <v>602</v>
      </c>
      <c r="F858" s="1"/>
      <c r="G858" s="5">
        <f>15.0313</f>
        <v>15.0313</v>
      </c>
      <c r="H858" s="7">
        <f t="shared" si="13"/>
        <v>0.006556642661164739</v>
      </c>
    </row>
    <row r="859" spans="1:8" ht="14.25" customHeight="1">
      <c r="A859" s="3">
        <f>3</f>
        <v>3</v>
      </c>
      <c r="B859" s="3">
        <f>1</f>
        <v>1</v>
      </c>
      <c r="C859" s="1">
        <f>0</f>
        <v>0</v>
      </c>
      <c r="D859" s="1">
        <f>0</f>
        <v>0</v>
      </c>
      <c r="E859" s="1" t="s">
        <v>585</v>
      </c>
      <c r="F859" s="1"/>
      <c r="G859" s="5">
        <f>187.7667</f>
        <v>187.7667</v>
      </c>
      <c r="H859" s="7">
        <f t="shared" si="13"/>
        <v>0.08190370464072443</v>
      </c>
    </row>
    <row r="860" spans="1:8" ht="14.25" customHeight="1">
      <c r="A860" s="3">
        <f>3</f>
        <v>3</v>
      </c>
      <c r="B860" s="3">
        <f>1</f>
        <v>1</v>
      </c>
      <c r="C860" s="1">
        <f>0</f>
        <v>0</v>
      </c>
      <c r="D860" s="1">
        <f>0</f>
        <v>0</v>
      </c>
      <c r="E860" s="1" t="s">
        <v>642</v>
      </c>
      <c r="F860" s="1"/>
      <c r="G860" s="5">
        <f>15.0313</f>
        <v>15.0313</v>
      </c>
      <c r="H860" s="7">
        <f t="shared" si="13"/>
        <v>0.006556642661164739</v>
      </c>
    </row>
    <row r="861" spans="1:8" ht="14.25" customHeight="1">
      <c r="A861" s="3">
        <f>3</f>
        <v>3</v>
      </c>
      <c r="B861" s="3">
        <f>1</f>
        <v>1</v>
      </c>
      <c r="C861" s="1">
        <f>0</f>
        <v>0</v>
      </c>
      <c r="D861" s="1">
        <f>0</f>
        <v>0</v>
      </c>
      <c r="E861" s="1" t="s">
        <v>666</v>
      </c>
      <c r="F861" s="1"/>
      <c r="G861" s="5">
        <f>43.1667</f>
        <v>43.1667</v>
      </c>
      <c r="H861" s="7">
        <f t="shared" si="13"/>
        <v>0.0188292846767545</v>
      </c>
    </row>
    <row r="862" spans="1:8" ht="14.25" customHeight="1">
      <c r="A862" s="3">
        <f>3</f>
        <v>3</v>
      </c>
      <c r="B862" s="3">
        <f>1</f>
        <v>1</v>
      </c>
      <c r="C862" s="1">
        <f>0</f>
        <v>0</v>
      </c>
      <c r="D862" s="1">
        <f>0</f>
        <v>0</v>
      </c>
      <c r="E862" s="1" t="s">
        <v>697</v>
      </c>
      <c r="F862" s="1"/>
      <c r="G862" s="5">
        <f>22.625</f>
        <v>22.625</v>
      </c>
      <c r="H862" s="7">
        <f t="shared" si="13"/>
        <v>0.009869009347751175</v>
      </c>
    </row>
    <row r="863" spans="1:8" ht="14.25" customHeight="1">
      <c r="A863" s="3">
        <f>3</f>
        <v>3</v>
      </c>
      <c r="B863" s="3">
        <f>1</f>
        <v>1</v>
      </c>
      <c r="C863" s="1">
        <f>0</f>
        <v>0</v>
      </c>
      <c r="D863" s="1">
        <f>0</f>
        <v>0</v>
      </c>
      <c r="E863" s="1" t="s">
        <v>622</v>
      </c>
      <c r="F863" s="1"/>
      <c r="G863" s="5">
        <f>15.2396</f>
        <v>15.2396</v>
      </c>
      <c r="H863" s="7">
        <f t="shared" si="13"/>
        <v>0.006647502977060278</v>
      </c>
    </row>
    <row r="864" spans="1:8" ht="14.25" customHeight="1">
      <c r="A864" s="3">
        <f>3</f>
        <v>3</v>
      </c>
      <c r="B864" s="3">
        <f>1</f>
        <v>1</v>
      </c>
      <c r="C864" s="1">
        <f>0</f>
        <v>0</v>
      </c>
      <c r="D864" s="1">
        <f>0</f>
        <v>0</v>
      </c>
      <c r="E864" s="1" t="s">
        <v>715</v>
      </c>
      <c r="F864" s="1"/>
      <c r="G864" s="5">
        <f>20</f>
        <v>20</v>
      </c>
      <c r="H864" s="7">
        <f t="shared" si="13"/>
        <v>0.008723986163757944</v>
      </c>
    </row>
    <row r="865" spans="1:8" ht="14.25" customHeight="1">
      <c r="A865" s="3">
        <f>3</f>
        <v>3</v>
      </c>
      <c r="B865" s="3">
        <f>1</f>
        <v>1</v>
      </c>
      <c r="C865" s="1">
        <f>0</f>
        <v>0</v>
      </c>
      <c r="D865" s="1">
        <f>0</f>
        <v>0</v>
      </c>
      <c r="E865" s="1" t="s">
        <v>698</v>
      </c>
      <c r="F865" s="1"/>
      <c r="G865" s="5">
        <f>20</f>
        <v>20</v>
      </c>
      <c r="H865" s="7">
        <f t="shared" si="13"/>
        <v>0.008723986163757944</v>
      </c>
    </row>
    <row r="866" spans="1:8" ht="14.25" customHeight="1">
      <c r="A866" s="3">
        <f>3</f>
        <v>3</v>
      </c>
      <c r="B866" s="3">
        <f>1</f>
        <v>1</v>
      </c>
      <c r="C866" s="1">
        <f>0</f>
        <v>0</v>
      </c>
      <c r="D866" s="1">
        <f>0</f>
        <v>0</v>
      </c>
      <c r="E866" s="1" t="s">
        <v>1368</v>
      </c>
      <c r="F866" s="1"/>
      <c r="G866" s="5">
        <f>0.8333</f>
        <v>0.8333</v>
      </c>
      <c r="H866" s="7">
        <f t="shared" si="13"/>
        <v>0.00036348488351297477</v>
      </c>
    </row>
    <row r="867" spans="1:8" ht="14.25" customHeight="1">
      <c r="A867" s="3">
        <f>3</f>
        <v>3</v>
      </c>
      <c r="B867" s="3">
        <f>1</f>
        <v>1</v>
      </c>
      <c r="C867" s="1">
        <f>0</f>
        <v>0</v>
      </c>
      <c r="D867" s="1">
        <f>0</f>
        <v>0</v>
      </c>
      <c r="E867" s="1" t="s">
        <v>658</v>
      </c>
      <c r="F867" s="1"/>
      <c r="G867" s="5">
        <f>101.0417</f>
        <v>101.0417</v>
      </c>
      <c r="H867" s="7">
        <f t="shared" si="13"/>
        <v>0.04407431963812906</v>
      </c>
    </row>
    <row r="868" spans="1:8" ht="14.25" customHeight="1">
      <c r="A868" s="3">
        <f>3</f>
        <v>3</v>
      </c>
      <c r="B868" s="3">
        <f>1</f>
        <v>1</v>
      </c>
      <c r="C868" s="1">
        <f>0</f>
        <v>0</v>
      </c>
      <c r="D868" s="1">
        <f>0</f>
        <v>0</v>
      </c>
      <c r="E868" s="1" t="s">
        <v>575</v>
      </c>
      <c r="F868" s="1"/>
      <c r="G868" s="5">
        <f>33.1771</f>
        <v>33.1771</v>
      </c>
      <c r="H868" s="7">
        <f t="shared" si="13"/>
        <v>0.014471828067680685</v>
      </c>
    </row>
    <row r="869" spans="1:8" ht="14.25" customHeight="1">
      <c r="A869" s="3">
        <f>3</f>
        <v>3</v>
      </c>
      <c r="B869" s="3">
        <f>1</f>
        <v>1</v>
      </c>
      <c r="C869" s="1">
        <f>0</f>
        <v>0</v>
      </c>
      <c r="D869" s="1">
        <f>0</f>
        <v>0</v>
      </c>
      <c r="E869" s="1" t="s">
        <v>1163</v>
      </c>
      <c r="F869" s="1"/>
      <c r="G869" s="5">
        <f>6.8194</f>
        <v>6.8194</v>
      </c>
      <c r="H869" s="7">
        <f t="shared" si="13"/>
        <v>0.002974617562256546</v>
      </c>
    </row>
    <row r="870" spans="1:8" ht="14.25" customHeight="1">
      <c r="A870" s="3">
        <f>0</f>
        <v>0</v>
      </c>
      <c r="B870" s="3">
        <f>1</f>
        <v>1</v>
      </c>
      <c r="C870" s="1">
        <f>0</f>
        <v>0</v>
      </c>
      <c r="D870" s="1">
        <f>0</f>
        <v>0</v>
      </c>
      <c r="E870" s="1" t="s">
        <v>1135</v>
      </c>
      <c r="F870" s="1" t="s">
        <v>26</v>
      </c>
      <c r="G870" s="5">
        <f>261.8083</f>
        <v>261.8083</v>
      </c>
      <c r="H870" s="7">
        <f t="shared" si="13"/>
        <v>0.11420059933784943</v>
      </c>
    </row>
    <row r="871" spans="1:8" ht="14.25" customHeight="1">
      <c r="A871" s="3">
        <f>3</f>
        <v>3</v>
      </c>
      <c r="B871" s="3">
        <f>1</f>
        <v>1</v>
      </c>
      <c r="C871" s="1">
        <f>0</f>
        <v>0</v>
      </c>
      <c r="D871" s="1">
        <f>0</f>
        <v>0</v>
      </c>
      <c r="E871" s="1" t="s">
        <v>603</v>
      </c>
      <c r="F871" s="1"/>
      <c r="G871" s="5">
        <f>198</f>
        <v>198</v>
      </c>
      <c r="H871" s="7">
        <f t="shared" si="13"/>
        <v>0.08636746302120364</v>
      </c>
    </row>
    <row r="872" spans="1:8" ht="14.25" customHeight="1">
      <c r="A872" s="3">
        <f>3</f>
        <v>3</v>
      </c>
      <c r="B872" s="3">
        <f>1</f>
        <v>1</v>
      </c>
      <c r="C872" s="1">
        <f>0</f>
        <v>0</v>
      </c>
      <c r="D872" s="1">
        <f>0</f>
        <v>0</v>
      </c>
      <c r="E872" s="1" t="s">
        <v>151</v>
      </c>
      <c r="F872" s="1"/>
      <c r="G872" s="5">
        <f>230.2917</f>
        <v>230.2917</v>
      </c>
      <c r="H872" s="7">
        <f t="shared" si="13"/>
        <v>0.10045308022141476</v>
      </c>
    </row>
    <row r="873" spans="1:8" ht="14.25" customHeight="1">
      <c r="A873" s="3">
        <f>3</f>
        <v>3</v>
      </c>
      <c r="B873" s="3">
        <f>1</f>
        <v>1</v>
      </c>
      <c r="C873" s="1">
        <f>0</f>
        <v>0</v>
      </c>
      <c r="D873" s="1">
        <f>0</f>
        <v>0</v>
      </c>
      <c r="E873" s="1" t="s">
        <v>927</v>
      </c>
      <c r="F873" s="1"/>
      <c r="G873" s="5">
        <f>317.25</f>
        <v>317.25</v>
      </c>
      <c r="H873" s="7">
        <f t="shared" si="13"/>
        <v>0.1383842305226104</v>
      </c>
    </row>
    <row r="874" spans="1:8" ht="14.25" customHeight="1">
      <c r="A874" s="3">
        <f>3</f>
        <v>3</v>
      </c>
      <c r="B874" s="3">
        <f>1</f>
        <v>1</v>
      </c>
      <c r="C874" s="1">
        <f>0</f>
        <v>0</v>
      </c>
      <c r="D874" s="1">
        <f>0</f>
        <v>0</v>
      </c>
      <c r="E874" s="1" t="s">
        <v>623</v>
      </c>
      <c r="F874" s="1"/>
      <c r="G874" s="5">
        <f>15.2396</f>
        <v>15.2396</v>
      </c>
      <c r="H874" s="7">
        <f t="shared" si="13"/>
        <v>0.006647502977060278</v>
      </c>
    </row>
    <row r="875" spans="1:8" ht="14.25" customHeight="1">
      <c r="A875" s="3">
        <f>0</f>
        <v>0</v>
      </c>
      <c r="B875" s="3">
        <f>1</f>
        <v>1</v>
      </c>
      <c r="C875" s="1">
        <f>0</f>
        <v>0</v>
      </c>
      <c r="D875" s="1">
        <f>0</f>
        <v>0</v>
      </c>
      <c r="E875" s="1" t="s">
        <v>1228</v>
      </c>
      <c r="F875" s="1" t="s">
        <v>1445</v>
      </c>
      <c r="G875" s="5">
        <f>668.5</f>
        <v>668.5</v>
      </c>
      <c r="H875" s="7">
        <f t="shared" si="13"/>
        <v>0.2915992375236093</v>
      </c>
    </row>
    <row r="876" spans="1:8" ht="14.25" customHeight="1">
      <c r="A876" s="3">
        <f>3</f>
        <v>3</v>
      </c>
      <c r="B876" s="3">
        <f>1</f>
        <v>1</v>
      </c>
      <c r="C876" s="1">
        <f>0</f>
        <v>0</v>
      </c>
      <c r="D876" s="1">
        <f>0</f>
        <v>0</v>
      </c>
      <c r="E876" s="1" t="s">
        <v>928</v>
      </c>
      <c r="F876" s="1"/>
      <c r="G876" s="5">
        <f>74.0417</f>
        <v>74.0417</v>
      </c>
      <c r="H876" s="7">
        <f t="shared" si="13"/>
        <v>0.03229693831705583</v>
      </c>
    </row>
    <row r="877" spans="1:8" ht="14.25" customHeight="1">
      <c r="A877" s="3">
        <f>3</f>
        <v>3</v>
      </c>
      <c r="B877" s="3">
        <f>1</f>
        <v>1</v>
      </c>
      <c r="C877" s="1">
        <f>0</f>
        <v>0</v>
      </c>
      <c r="D877" s="1">
        <f>0</f>
        <v>0</v>
      </c>
      <c r="E877" s="1" t="s">
        <v>1151</v>
      </c>
      <c r="F877" s="1"/>
      <c r="G877" s="5">
        <f>107.625</f>
        <v>107.625</v>
      </c>
      <c r="H877" s="7">
        <f t="shared" si="13"/>
        <v>0.046945950543722435</v>
      </c>
    </row>
    <row r="878" spans="1:8" ht="14.25" customHeight="1">
      <c r="A878" s="3">
        <f>3</f>
        <v>3</v>
      </c>
      <c r="B878" s="3">
        <f>1</f>
        <v>1</v>
      </c>
      <c r="C878" s="1">
        <f>0</f>
        <v>0</v>
      </c>
      <c r="D878" s="1">
        <f>0</f>
        <v>0</v>
      </c>
      <c r="E878" s="1" t="s">
        <v>768</v>
      </c>
      <c r="F878" s="1"/>
      <c r="G878" s="5">
        <f>70.1806</f>
        <v>70.1806</v>
      </c>
      <c r="H878" s="7">
        <f t="shared" si="13"/>
        <v>0.030612729168211537</v>
      </c>
    </row>
    <row r="879" spans="1:8" ht="14.25" customHeight="1">
      <c r="A879" s="3">
        <f>3</f>
        <v>3</v>
      </c>
      <c r="B879" s="3">
        <f>1</f>
        <v>1</v>
      </c>
      <c r="C879" s="1">
        <f>0</f>
        <v>0</v>
      </c>
      <c r="D879" s="1">
        <f>0</f>
        <v>0</v>
      </c>
      <c r="E879" s="1" t="s">
        <v>604</v>
      </c>
      <c r="F879" s="1"/>
      <c r="G879" s="5">
        <f>8.3368</f>
        <v>8.3368</v>
      </c>
      <c r="H879" s="7">
        <f t="shared" si="13"/>
        <v>0.0036365063925008615</v>
      </c>
    </row>
    <row r="880" spans="1:8" ht="14.25" customHeight="1">
      <c r="A880" s="3">
        <f>3</f>
        <v>3</v>
      </c>
      <c r="B880" s="3">
        <f>1</f>
        <v>1</v>
      </c>
      <c r="C880" s="1">
        <f>0</f>
        <v>0</v>
      </c>
      <c r="D880" s="1">
        <f>0</f>
        <v>0</v>
      </c>
      <c r="E880" s="1" t="s">
        <v>391</v>
      </c>
      <c r="F880" s="1"/>
      <c r="G880" s="5">
        <f>619</f>
        <v>619</v>
      </c>
      <c r="H880" s="7">
        <f t="shared" si="13"/>
        <v>0.27000737176830836</v>
      </c>
    </row>
    <row r="881" spans="1:8" ht="14.25" customHeight="1">
      <c r="A881" s="3">
        <f>3</f>
        <v>3</v>
      </c>
      <c r="B881" s="3">
        <f>1</f>
        <v>1</v>
      </c>
      <c r="C881" s="1">
        <f>0</f>
        <v>0</v>
      </c>
      <c r="D881" s="1">
        <f>0</f>
        <v>0</v>
      </c>
      <c r="E881" s="1" t="s">
        <v>1367</v>
      </c>
      <c r="F881" s="1"/>
      <c r="G881" s="5">
        <f>0.5125</f>
        <v>0.5125</v>
      </c>
      <c r="H881" s="7">
        <f t="shared" si="13"/>
        <v>0.0002235521454462973</v>
      </c>
    </row>
    <row r="882" spans="1:8" ht="14.25" customHeight="1">
      <c r="A882" s="3">
        <f>0</f>
        <v>0</v>
      </c>
      <c r="B882" s="3">
        <f>1</f>
        <v>1</v>
      </c>
      <c r="C882" s="1">
        <f>0</f>
        <v>0</v>
      </c>
      <c r="D882" s="1">
        <f>0</f>
        <v>0</v>
      </c>
      <c r="E882" s="1" t="s">
        <v>1255</v>
      </c>
      <c r="F882" s="1" t="s">
        <v>161</v>
      </c>
      <c r="G882" s="5">
        <f>210.4167</f>
        <v>210.4167</v>
      </c>
      <c r="H882" s="7">
        <f t="shared" si="13"/>
        <v>0.0917836189711803</v>
      </c>
    </row>
    <row r="883" spans="1:8" ht="14.25" customHeight="1">
      <c r="A883" s="3">
        <f>0</f>
        <v>0</v>
      </c>
      <c r="B883" s="3">
        <f>1</f>
        <v>1</v>
      </c>
      <c r="C883" s="1">
        <f>0</f>
        <v>0</v>
      </c>
      <c r="D883" s="1">
        <f>0</f>
        <v>0</v>
      </c>
      <c r="E883" s="1" t="s">
        <v>450</v>
      </c>
      <c r="F883" s="1" t="s">
        <v>832</v>
      </c>
      <c r="G883" s="5">
        <f>57.6667</f>
        <v>57.6667</v>
      </c>
      <c r="H883" s="7">
        <f t="shared" si="13"/>
        <v>0.025154174645479012</v>
      </c>
    </row>
    <row r="884" spans="1:8" ht="14.25" customHeight="1">
      <c r="A884" s="3">
        <f>3</f>
        <v>3</v>
      </c>
      <c r="B884" s="3">
        <f>1</f>
        <v>1</v>
      </c>
      <c r="C884" s="1">
        <f>0</f>
        <v>0</v>
      </c>
      <c r="D884" s="1">
        <f>0</f>
        <v>0</v>
      </c>
      <c r="E884" s="1" t="s">
        <v>102</v>
      </c>
      <c r="F884" s="1"/>
      <c r="G884" s="5">
        <f>67.1429</f>
        <v>67.1429</v>
      </c>
      <c r="H884" s="7">
        <f t="shared" si="13"/>
        <v>0.029287686529729164</v>
      </c>
    </row>
    <row r="885" spans="1:8" ht="14.25" customHeight="1">
      <c r="A885" s="3">
        <f>0</f>
        <v>0</v>
      </c>
      <c r="B885" s="3">
        <f>1</f>
        <v>1</v>
      </c>
      <c r="C885" s="1">
        <f>0</f>
        <v>0</v>
      </c>
      <c r="D885" s="1">
        <f>0</f>
        <v>0</v>
      </c>
      <c r="E885" s="1" t="s">
        <v>308</v>
      </c>
      <c r="F885" s="1" t="s">
        <v>263</v>
      </c>
      <c r="G885" s="5">
        <f>16.5833</f>
        <v>16.5833</v>
      </c>
      <c r="H885" s="7">
        <f t="shared" si="13"/>
        <v>0.007233623987472356</v>
      </c>
    </row>
    <row r="886" spans="1:8" ht="14.25" customHeight="1">
      <c r="A886" s="3">
        <f>0</f>
        <v>0</v>
      </c>
      <c r="B886" s="3">
        <f>1</f>
        <v>1</v>
      </c>
      <c r="C886" s="1">
        <f>0</f>
        <v>0</v>
      </c>
      <c r="D886" s="1">
        <f>0</f>
        <v>0</v>
      </c>
      <c r="E886" s="1" t="s">
        <v>363</v>
      </c>
      <c r="F886" s="1" t="s">
        <v>184</v>
      </c>
      <c r="G886" s="5">
        <f>982</f>
        <v>982</v>
      </c>
      <c r="H886" s="7">
        <f t="shared" si="13"/>
        <v>0.4283477206405151</v>
      </c>
    </row>
    <row r="887" spans="1:8" ht="14.25" customHeight="1">
      <c r="A887" s="3">
        <f>0</f>
        <v>0</v>
      </c>
      <c r="B887" s="3">
        <f>1</f>
        <v>1</v>
      </c>
      <c r="C887" s="1">
        <f>0</f>
        <v>0</v>
      </c>
      <c r="D887" s="1">
        <f>0</f>
        <v>0</v>
      </c>
      <c r="E887" s="1" t="s">
        <v>869</v>
      </c>
      <c r="F887" s="1" t="s">
        <v>1586</v>
      </c>
      <c r="G887" s="5">
        <f>7.8833</f>
        <v>7.8833</v>
      </c>
      <c r="H887" s="7">
        <f t="shared" si="13"/>
        <v>0.00343869000623765</v>
      </c>
    </row>
    <row r="888" spans="1:8" ht="14.25" customHeight="1">
      <c r="A888" s="3">
        <f>0</f>
        <v>0</v>
      </c>
      <c r="B888" s="3">
        <f>1</f>
        <v>1</v>
      </c>
      <c r="C888" s="1">
        <f>0</f>
        <v>0</v>
      </c>
      <c r="D888" s="1">
        <f>0</f>
        <v>0</v>
      </c>
      <c r="E888" s="1" t="s">
        <v>1262</v>
      </c>
      <c r="F888" s="1" t="s">
        <v>1400</v>
      </c>
      <c r="G888" s="5">
        <f>23.65</f>
        <v>23.65</v>
      </c>
      <c r="H888" s="7">
        <f t="shared" si="13"/>
        <v>0.010316113638643768</v>
      </c>
    </row>
    <row r="889" spans="1:8" ht="14.25" customHeight="1">
      <c r="A889" s="3">
        <f>0</f>
        <v>0</v>
      </c>
      <c r="B889" s="3">
        <f>1</f>
        <v>1</v>
      </c>
      <c r="C889" s="1">
        <f>0</f>
        <v>0</v>
      </c>
      <c r="D889" s="1">
        <f>0</f>
        <v>0</v>
      </c>
      <c r="E889" s="1" t="s">
        <v>309</v>
      </c>
      <c r="F889" s="1" t="s">
        <v>120</v>
      </c>
      <c r="G889" s="5">
        <f>90.5833</f>
        <v>90.5833</v>
      </c>
      <c r="H889" s="7">
        <f t="shared" si="13"/>
        <v>0.03951237279337674</v>
      </c>
    </row>
    <row r="890" spans="1:8" ht="14.25" customHeight="1">
      <c r="A890" s="3">
        <f>3</f>
        <v>3</v>
      </c>
      <c r="B890" s="3">
        <f>1</f>
        <v>1</v>
      </c>
      <c r="C890" s="1">
        <f>0</f>
        <v>0</v>
      </c>
      <c r="D890" s="1">
        <f>0</f>
        <v>0</v>
      </c>
      <c r="E890" s="1" t="s">
        <v>679</v>
      </c>
      <c r="F890" s="1"/>
      <c r="G890" s="5">
        <f>8.425</f>
        <v>8.425</v>
      </c>
      <c r="H890" s="7">
        <f t="shared" si="13"/>
        <v>0.003674979171483034</v>
      </c>
    </row>
    <row r="891" spans="1:8" ht="14.25" customHeight="1">
      <c r="A891" s="3">
        <f>3</f>
        <v>3</v>
      </c>
      <c r="B891" s="3">
        <f>1</f>
        <v>1</v>
      </c>
      <c r="C891" s="1">
        <f>0</f>
        <v>0</v>
      </c>
      <c r="D891" s="1">
        <f>0</f>
        <v>0</v>
      </c>
      <c r="E891" s="1" t="s">
        <v>605</v>
      </c>
      <c r="F891" s="1"/>
      <c r="G891" s="5">
        <f>631.9934</f>
        <v>631.9934</v>
      </c>
      <c r="H891" s="7">
        <f t="shared" si="13"/>
        <v>0.275675083859317</v>
      </c>
    </row>
    <row r="892" spans="1:8" ht="14.25" customHeight="1">
      <c r="A892" s="3">
        <f>3</f>
        <v>3</v>
      </c>
      <c r="B892" s="3">
        <f>1</f>
        <v>1</v>
      </c>
      <c r="C892" s="1">
        <f>0</f>
        <v>0</v>
      </c>
      <c r="D892" s="1">
        <f>0</f>
        <v>0</v>
      </c>
      <c r="E892" s="1" t="s">
        <v>1136</v>
      </c>
      <c r="F892" s="1"/>
      <c r="G892" s="5">
        <f>160.4934</f>
        <v>160.4934</v>
      </c>
      <c r="H892" s="7">
        <f t="shared" si="13"/>
        <v>0.07000711004872347</v>
      </c>
    </row>
    <row r="893" spans="1:8" ht="14.25" customHeight="1">
      <c r="A893" s="3">
        <f>3</f>
        <v>3</v>
      </c>
      <c r="B893" s="3">
        <f>1</f>
        <v>1</v>
      </c>
      <c r="C893" s="1">
        <f>0</f>
        <v>0</v>
      </c>
      <c r="D893" s="1">
        <f>0</f>
        <v>0</v>
      </c>
      <c r="E893" s="1" t="s">
        <v>1101</v>
      </c>
      <c r="F893" s="1"/>
      <c r="G893" s="5">
        <f>27.6125</f>
        <v>27.6125</v>
      </c>
      <c r="H893" s="7">
        <f t="shared" si="13"/>
        <v>0.012044553397338311</v>
      </c>
    </row>
    <row r="894" spans="1:8" ht="14.25" customHeight="1">
      <c r="A894" s="3">
        <f>3</f>
        <v>3</v>
      </c>
      <c r="B894" s="3">
        <f>1</f>
        <v>1</v>
      </c>
      <c r="C894" s="1">
        <f>0</f>
        <v>0</v>
      </c>
      <c r="D894" s="1">
        <f>0</f>
        <v>0</v>
      </c>
      <c r="E894" s="1" t="s">
        <v>1137</v>
      </c>
      <c r="F894" s="1"/>
      <c r="G894" s="5">
        <f>40.0833</f>
        <v>40.0833</v>
      </c>
      <c r="H894" s="7">
        <f t="shared" si="13"/>
        <v>0.01748430772988794</v>
      </c>
    </row>
    <row r="895" spans="1:8" ht="14.25" customHeight="1">
      <c r="A895" s="3">
        <f>3</f>
        <v>3</v>
      </c>
      <c r="B895" s="3">
        <f>1</f>
        <v>1</v>
      </c>
      <c r="C895" s="1">
        <f>0</f>
        <v>0</v>
      </c>
      <c r="D895" s="1">
        <f>0</f>
        <v>0</v>
      </c>
      <c r="E895" s="1" t="s">
        <v>1425</v>
      </c>
      <c r="F895" s="1"/>
      <c r="G895" s="5">
        <f>40.3333</f>
        <v>40.3333</v>
      </c>
      <c r="H895" s="7">
        <f t="shared" si="13"/>
        <v>0.017593357556934915</v>
      </c>
    </row>
    <row r="896" spans="1:8" ht="14.25" customHeight="1">
      <c r="A896" s="3">
        <f>3</f>
        <v>3</v>
      </c>
      <c r="B896" s="3">
        <f>1</f>
        <v>1</v>
      </c>
      <c r="C896" s="1">
        <f>0</f>
        <v>0</v>
      </c>
      <c r="D896" s="1">
        <f>0</f>
        <v>0</v>
      </c>
      <c r="E896" s="1" t="s">
        <v>201</v>
      </c>
      <c r="F896" s="1"/>
      <c r="G896" s="5">
        <f>173</f>
        <v>173</v>
      </c>
      <c r="H896" s="7">
        <f t="shared" si="13"/>
        <v>0.07546248031650622</v>
      </c>
    </row>
    <row r="897" spans="1:8" ht="14.25" customHeight="1">
      <c r="A897" s="3">
        <f>0</f>
        <v>0</v>
      </c>
      <c r="B897" s="3">
        <f>1</f>
        <v>1</v>
      </c>
      <c r="C897" s="1">
        <f>0</f>
        <v>0</v>
      </c>
      <c r="D897" s="1">
        <f>0</f>
        <v>0</v>
      </c>
      <c r="E897" s="1" t="s">
        <v>340</v>
      </c>
      <c r="F897" s="1" t="s">
        <v>92</v>
      </c>
      <c r="G897" s="5">
        <f>4.375</f>
        <v>4.375</v>
      </c>
      <c r="H897" s="7">
        <f t="shared" si="13"/>
        <v>0.0019083719733220502</v>
      </c>
    </row>
    <row r="898" spans="1:8" ht="14.25" customHeight="1">
      <c r="A898" s="3">
        <f>0</f>
        <v>0</v>
      </c>
      <c r="B898" s="3">
        <f>1</f>
        <v>1</v>
      </c>
      <c r="C898" s="1">
        <f>0</f>
        <v>0</v>
      </c>
      <c r="D898" s="1">
        <f>0</f>
        <v>0</v>
      </c>
      <c r="E898" s="1" t="s">
        <v>451</v>
      </c>
      <c r="F898" s="1" t="s">
        <v>136</v>
      </c>
      <c r="G898" s="5">
        <f>91.3917</f>
        <v>91.3917</v>
      </c>
      <c r="H898" s="7">
        <f aca="true" t="shared" si="14" ref="H898:H961">SUM(100/229253*G$1:G$65536)</f>
        <v>0.039864996314115844</v>
      </c>
    </row>
    <row r="899" spans="1:8" ht="14.25" customHeight="1">
      <c r="A899" s="3">
        <f>0</f>
        <v>0</v>
      </c>
      <c r="B899" s="3">
        <f>1</f>
        <v>1</v>
      </c>
      <c r="C899" s="1">
        <f>0</f>
        <v>0</v>
      </c>
      <c r="D899" s="1">
        <f>0</f>
        <v>0</v>
      </c>
      <c r="E899" s="1" t="s">
        <v>392</v>
      </c>
      <c r="F899" s="1" t="s">
        <v>163</v>
      </c>
      <c r="G899" s="5">
        <f>45.6107</f>
        <v>45.6107</v>
      </c>
      <c r="H899" s="7">
        <f t="shared" si="14"/>
        <v>0.019895355785965723</v>
      </c>
    </row>
    <row r="900" spans="1:8" ht="14.25" customHeight="1">
      <c r="A900" s="3">
        <f>0</f>
        <v>0</v>
      </c>
      <c r="B900" s="3">
        <f>1</f>
        <v>1</v>
      </c>
      <c r="C900" s="1">
        <f>0</f>
        <v>0</v>
      </c>
      <c r="D900" s="1">
        <f>0</f>
        <v>0</v>
      </c>
      <c r="E900" s="1" t="s">
        <v>452</v>
      </c>
      <c r="F900" s="1" t="s">
        <v>533</v>
      </c>
      <c r="G900" s="5">
        <f>311</f>
        <v>311</v>
      </c>
      <c r="H900" s="7">
        <f t="shared" si="14"/>
        <v>0.13565798484643604</v>
      </c>
    </row>
    <row r="901" spans="1:8" ht="14.25" customHeight="1">
      <c r="A901" s="3">
        <f>0</f>
        <v>0</v>
      </c>
      <c r="B901" s="3">
        <f>2</f>
        <v>2</v>
      </c>
      <c r="C901" s="1">
        <f>0</f>
        <v>0</v>
      </c>
      <c r="D901" s="1">
        <f>0</f>
        <v>0</v>
      </c>
      <c r="E901" s="1" t="s">
        <v>1004</v>
      </c>
      <c r="F901" s="1" t="s">
        <v>113</v>
      </c>
      <c r="G901" s="5">
        <f>3711.6667</f>
        <v>3711.6667</v>
      </c>
      <c r="H901" s="7">
        <f t="shared" si="14"/>
        <v>1.6190264467640554</v>
      </c>
    </row>
    <row r="902" spans="1:8" ht="14.25" customHeight="1">
      <c r="A902" s="3">
        <f>0</f>
        <v>0</v>
      </c>
      <c r="B902" s="3">
        <f>1</f>
        <v>1</v>
      </c>
      <c r="C902" s="1">
        <f>0</f>
        <v>0</v>
      </c>
      <c r="D902" s="1">
        <f>0</f>
        <v>0</v>
      </c>
      <c r="E902" s="1" t="s">
        <v>536</v>
      </c>
      <c r="F902" s="1" t="s">
        <v>211</v>
      </c>
      <c r="G902" s="5">
        <f>233</f>
        <v>233</v>
      </c>
      <c r="H902" s="7">
        <f t="shared" si="14"/>
        <v>0.10163443880778004</v>
      </c>
    </row>
    <row r="903" spans="1:8" ht="14.25" customHeight="1">
      <c r="A903" s="3">
        <f>0</f>
        <v>0</v>
      </c>
      <c r="B903" s="3">
        <f>1</f>
        <v>1</v>
      </c>
      <c r="C903" s="1">
        <f>0</f>
        <v>0</v>
      </c>
      <c r="D903" s="1">
        <f>0</f>
        <v>0</v>
      </c>
      <c r="E903" s="1" t="s">
        <v>1297</v>
      </c>
      <c r="F903" s="1" t="s">
        <v>138</v>
      </c>
      <c r="G903" s="5">
        <f>2.7643</f>
        <v>2.7643</v>
      </c>
      <c r="H903" s="7">
        <f t="shared" si="14"/>
        <v>0.0012057857476238042</v>
      </c>
    </row>
    <row r="904" spans="1:8" ht="14.25" customHeight="1">
      <c r="A904" s="3">
        <f>3</f>
        <v>3</v>
      </c>
      <c r="B904" s="3">
        <f>1</f>
        <v>1</v>
      </c>
      <c r="C904" s="1">
        <f>0</f>
        <v>0</v>
      </c>
      <c r="D904" s="1">
        <f>0</f>
        <v>0</v>
      </c>
      <c r="E904" s="1" t="s">
        <v>973</v>
      </c>
      <c r="F904" s="1"/>
      <c r="G904" s="5">
        <f>16.375</f>
        <v>16.375</v>
      </c>
      <c r="H904" s="7">
        <f t="shared" si="14"/>
        <v>0.007142763671576817</v>
      </c>
    </row>
    <row r="905" spans="1:8" ht="14.25" customHeight="1">
      <c r="A905" s="3">
        <f>0</f>
        <v>0</v>
      </c>
      <c r="B905" s="3">
        <f>1</f>
        <v>1</v>
      </c>
      <c r="C905" s="1">
        <f>0</f>
        <v>0</v>
      </c>
      <c r="D905" s="1">
        <f>0</f>
        <v>0</v>
      </c>
      <c r="E905" s="1" t="s">
        <v>1186</v>
      </c>
      <c r="F905" s="1" t="s">
        <v>803</v>
      </c>
      <c r="G905" s="5">
        <f>111.5635</f>
        <v>111.5635</v>
      </c>
      <c r="H905" s="7">
        <f t="shared" si="14"/>
        <v>0.04866392151902047</v>
      </c>
    </row>
    <row r="906" spans="1:8" ht="14.25" customHeight="1">
      <c r="A906" s="3">
        <f>3</f>
        <v>3</v>
      </c>
      <c r="B906" s="3">
        <f>1</f>
        <v>1</v>
      </c>
      <c r="C906" s="1">
        <f>0</f>
        <v>0</v>
      </c>
      <c r="D906" s="1">
        <f>0</f>
        <v>0</v>
      </c>
      <c r="E906" s="1" t="s">
        <v>1119</v>
      </c>
      <c r="F906" s="1"/>
      <c r="G906" s="5">
        <f>62.1875</f>
        <v>62.1875</v>
      </c>
      <c r="H906" s="7">
        <f t="shared" si="14"/>
        <v>0.027126144477934856</v>
      </c>
    </row>
    <row r="907" spans="1:8" ht="14.25" customHeight="1">
      <c r="A907" s="3">
        <f>3</f>
        <v>3</v>
      </c>
      <c r="B907" s="3">
        <f>1</f>
        <v>1</v>
      </c>
      <c r="C907" s="1">
        <f>0</f>
        <v>0</v>
      </c>
      <c r="D907" s="1">
        <f>0</f>
        <v>0</v>
      </c>
      <c r="E907" s="1" t="s">
        <v>1280</v>
      </c>
      <c r="F907" s="1"/>
      <c r="G907" s="5">
        <f>244.7778</f>
        <v>244.7778</v>
      </c>
      <c r="H907" s="7">
        <f t="shared" si="14"/>
        <v>0.10677190701975547</v>
      </c>
    </row>
    <row r="908" spans="1:8" ht="14.25" customHeight="1">
      <c r="A908" s="3">
        <f>3</f>
        <v>3</v>
      </c>
      <c r="B908" s="3">
        <f>1</f>
        <v>1</v>
      </c>
      <c r="C908" s="1">
        <f>0</f>
        <v>0</v>
      </c>
      <c r="D908" s="1">
        <f>0</f>
        <v>0</v>
      </c>
      <c r="E908" s="1" t="s">
        <v>846</v>
      </c>
      <c r="F908" s="1"/>
      <c r="G908" s="5">
        <f>263</f>
        <v>263</v>
      </c>
      <c r="H908" s="7">
        <f t="shared" si="14"/>
        <v>0.11472041805341697</v>
      </c>
    </row>
    <row r="909" spans="1:8" ht="14.25" customHeight="1">
      <c r="A909" s="3">
        <f>3</f>
        <v>3</v>
      </c>
      <c r="B909" s="3">
        <f>1</f>
        <v>1</v>
      </c>
      <c r="C909" s="1">
        <f>0</f>
        <v>0</v>
      </c>
      <c r="D909" s="1">
        <f>0</f>
        <v>0</v>
      </c>
      <c r="E909" s="1" t="s">
        <v>699</v>
      </c>
      <c r="F909" s="1"/>
      <c r="G909" s="5">
        <f>258.5</f>
        <v>258.5</v>
      </c>
      <c r="H909" s="7">
        <f t="shared" si="14"/>
        <v>0.11275752116657142</v>
      </c>
    </row>
    <row r="910" spans="1:8" ht="14.25" customHeight="1">
      <c r="A910" s="3">
        <f>3</f>
        <v>3</v>
      </c>
      <c r="B910" s="3">
        <f>1</f>
        <v>1</v>
      </c>
      <c r="C910" s="1">
        <f>0</f>
        <v>0</v>
      </c>
      <c r="D910" s="1">
        <f>0</f>
        <v>0</v>
      </c>
      <c r="E910" s="1" t="s">
        <v>870</v>
      </c>
      <c r="F910" s="1"/>
      <c r="G910" s="5">
        <f>223.7042</f>
        <v>223.7042</v>
      </c>
      <c r="H910" s="7">
        <f t="shared" si="14"/>
        <v>0.097579617278727</v>
      </c>
    </row>
    <row r="911" spans="1:8" ht="14.25" customHeight="1">
      <c r="A911" s="3">
        <f>3</f>
        <v>3</v>
      </c>
      <c r="B911" s="3">
        <f>1</f>
        <v>1</v>
      </c>
      <c r="C911" s="1">
        <f>0</f>
        <v>0</v>
      </c>
      <c r="D911" s="1">
        <f>0</f>
        <v>0</v>
      </c>
      <c r="E911" s="1" t="s">
        <v>586</v>
      </c>
      <c r="F911" s="1"/>
      <c r="G911" s="5">
        <f>110.75</f>
        <v>110.75</v>
      </c>
      <c r="H911" s="7">
        <f t="shared" si="14"/>
        <v>0.04830907338180961</v>
      </c>
    </row>
    <row r="912" spans="1:8" ht="14.25" customHeight="1">
      <c r="A912" s="3">
        <f>3</f>
        <v>3</v>
      </c>
      <c r="B912" s="3">
        <f>1</f>
        <v>1</v>
      </c>
      <c r="C912" s="1">
        <f>0</f>
        <v>0</v>
      </c>
      <c r="D912" s="1">
        <f>0</f>
        <v>0</v>
      </c>
      <c r="E912" s="1" t="s">
        <v>785</v>
      </c>
      <c r="F912" s="1"/>
      <c r="G912" s="5">
        <f>32.475</f>
        <v>32.475</v>
      </c>
      <c r="H912" s="7">
        <f t="shared" si="14"/>
        <v>0.014165572533401963</v>
      </c>
    </row>
    <row r="913" spans="1:8" ht="14.25" customHeight="1">
      <c r="A913" s="3">
        <f>3</f>
        <v>3</v>
      </c>
      <c r="B913" s="3">
        <f>1</f>
        <v>1</v>
      </c>
      <c r="C913" s="1">
        <f>0</f>
        <v>0</v>
      </c>
      <c r="D913" s="1">
        <f>0</f>
        <v>0</v>
      </c>
      <c r="E913" s="1" t="s">
        <v>1005</v>
      </c>
      <c r="F913" s="1"/>
      <c r="G913" s="5">
        <f>2.2667</f>
        <v>2.2667</v>
      </c>
      <c r="H913" s="7">
        <f t="shared" si="14"/>
        <v>0.0009887329718695067</v>
      </c>
    </row>
    <row r="914" spans="1:8" ht="14.25" customHeight="1">
      <c r="A914" s="3">
        <f>3</f>
        <v>3</v>
      </c>
      <c r="B914" s="3">
        <f>1</f>
        <v>1</v>
      </c>
      <c r="C914" s="1">
        <f>0</f>
        <v>0</v>
      </c>
      <c r="D914" s="1">
        <f>0</f>
        <v>0</v>
      </c>
      <c r="E914" s="1" t="s">
        <v>606</v>
      </c>
      <c r="F914" s="1"/>
      <c r="G914" s="5">
        <f>2.2667</f>
        <v>2.2667</v>
      </c>
      <c r="H914" s="7">
        <f t="shared" si="14"/>
        <v>0.0009887329718695067</v>
      </c>
    </row>
    <row r="915" spans="1:8" ht="14.25" customHeight="1">
      <c r="A915" s="3">
        <f>3</f>
        <v>3</v>
      </c>
      <c r="B915" s="3">
        <f>1</f>
        <v>1</v>
      </c>
      <c r="C915" s="1">
        <f>0</f>
        <v>0</v>
      </c>
      <c r="D915" s="1">
        <f>0</f>
        <v>0</v>
      </c>
      <c r="E915" s="1" t="s">
        <v>667</v>
      </c>
      <c r="F915" s="1"/>
      <c r="G915" s="5">
        <f>17.9</f>
        <v>17.9</v>
      </c>
      <c r="H915" s="7">
        <f t="shared" si="14"/>
        <v>0.007807967616563359</v>
      </c>
    </row>
    <row r="916" spans="1:8" ht="14.25" customHeight="1">
      <c r="A916" s="3">
        <f>3</f>
        <v>3</v>
      </c>
      <c r="B916" s="3">
        <f>1</f>
        <v>1</v>
      </c>
      <c r="C916" s="1">
        <f>0</f>
        <v>0</v>
      </c>
      <c r="D916" s="1">
        <f>0</f>
        <v>0</v>
      </c>
      <c r="E916" s="1" t="s">
        <v>643</v>
      </c>
      <c r="F916" s="1"/>
      <c r="G916" s="5">
        <f>127.0806</f>
        <v>127.0806</v>
      </c>
      <c r="H916" s="7">
        <f t="shared" si="14"/>
        <v>0.055432469804102893</v>
      </c>
    </row>
    <row r="917" spans="1:8" ht="14.25" customHeight="1">
      <c r="A917" s="3">
        <f>3</f>
        <v>3</v>
      </c>
      <c r="B917" s="3">
        <f>1</f>
        <v>1</v>
      </c>
      <c r="C917" s="1">
        <f>0</f>
        <v>0</v>
      </c>
      <c r="D917" s="1">
        <f>0</f>
        <v>0</v>
      </c>
      <c r="E917" s="1" t="s">
        <v>255</v>
      </c>
      <c r="F917" s="1"/>
      <c r="G917" s="5">
        <f>200.0833</f>
        <v>200.0833</v>
      </c>
      <c r="H917" s="7">
        <f t="shared" si="14"/>
        <v>0.0872761970399515</v>
      </c>
    </row>
    <row r="918" spans="1:8" ht="14.25" customHeight="1">
      <c r="A918" s="3">
        <f>3</f>
        <v>3</v>
      </c>
      <c r="B918" s="3">
        <f>1</f>
        <v>1</v>
      </c>
      <c r="C918" s="1">
        <f>0</f>
        <v>0</v>
      </c>
      <c r="D918" s="1">
        <f>0</f>
        <v>0</v>
      </c>
      <c r="E918" s="1" t="s">
        <v>1017</v>
      </c>
      <c r="F918" s="1"/>
      <c r="G918" s="5">
        <f>809.0278</f>
        <v>809.0278</v>
      </c>
      <c r="H918" s="7">
        <f t="shared" si="14"/>
        <v>0.35289736666477645</v>
      </c>
    </row>
    <row r="919" spans="1:8" ht="14.25" customHeight="1">
      <c r="A919" s="3">
        <f>3</f>
        <v>3</v>
      </c>
      <c r="B919" s="3">
        <f>1</f>
        <v>1</v>
      </c>
      <c r="C919" s="1">
        <f>0</f>
        <v>0</v>
      </c>
      <c r="D919" s="1">
        <f>0</f>
        <v>0</v>
      </c>
      <c r="E919" s="1" t="s">
        <v>1073</v>
      </c>
      <c r="F919" s="1"/>
      <c r="G919" s="5">
        <f>118.1667</f>
        <v>118.1667</v>
      </c>
      <c r="H919" s="7">
        <f t="shared" si="14"/>
        <v>0.05154423279084679</v>
      </c>
    </row>
    <row r="920" spans="1:8" ht="14.25" customHeight="1">
      <c r="A920" s="3">
        <f>3</f>
        <v>3</v>
      </c>
      <c r="B920" s="3">
        <f>1</f>
        <v>1</v>
      </c>
      <c r="C920" s="1">
        <f>0</f>
        <v>0</v>
      </c>
      <c r="D920" s="1">
        <f>0</f>
        <v>0</v>
      </c>
      <c r="E920" s="1" t="s">
        <v>202</v>
      </c>
      <c r="F920" s="1"/>
      <c r="G920" s="5">
        <f>70.95</f>
        <v>70.95</v>
      </c>
      <c r="H920" s="7">
        <f t="shared" si="14"/>
        <v>0.030948340915931308</v>
      </c>
    </row>
    <row r="921" spans="1:8" ht="14.25" customHeight="1">
      <c r="A921" s="3">
        <f>0</f>
        <v>0</v>
      </c>
      <c r="B921" s="3">
        <f>1</f>
        <v>1</v>
      </c>
      <c r="C921" s="1">
        <f>0</f>
        <v>0</v>
      </c>
      <c r="D921" s="1">
        <f>0</f>
        <v>0</v>
      </c>
      <c r="E921" s="1" t="s">
        <v>1263</v>
      </c>
      <c r="F921" s="1" t="s">
        <v>1306</v>
      </c>
      <c r="G921" s="5">
        <f>36.6111</f>
        <v>36.6111</v>
      </c>
      <c r="H921" s="7">
        <f t="shared" si="14"/>
        <v>0.015969736491997923</v>
      </c>
    </row>
    <row r="922" spans="1:8" ht="14.25" customHeight="1">
      <c r="A922" s="3">
        <f>3</f>
        <v>3</v>
      </c>
      <c r="B922" s="3">
        <f>1</f>
        <v>1</v>
      </c>
      <c r="C922" s="1">
        <f>0</f>
        <v>0</v>
      </c>
      <c r="D922" s="1">
        <f>0</f>
        <v>0</v>
      </c>
      <c r="E922" s="1" t="s">
        <v>769</v>
      </c>
      <c r="F922" s="1"/>
      <c r="G922" s="5">
        <f>141.3333</f>
        <v>141.3333</v>
      </c>
      <c r="H922" s="7">
        <f t="shared" si="14"/>
        <v>0.061649487683912534</v>
      </c>
    </row>
    <row r="923" spans="1:8" ht="14.25" customHeight="1">
      <c r="A923" s="3">
        <f>0</f>
        <v>0</v>
      </c>
      <c r="B923" s="3">
        <f>2</f>
        <v>2</v>
      </c>
      <c r="C923" s="1">
        <f>0</f>
        <v>0</v>
      </c>
      <c r="D923" s="1">
        <f>0</f>
        <v>0</v>
      </c>
      <c r="E923" s="1" t="s">
        <v>1175</v>
      </c>
      <c r="F923" s="1" t="s">
        <v>976</v>
      </c>
      <c r="G923" s="5">
        <f>210</f>
        <v>210</v>
      </c>
      <c r="H923" s="7">
        <f t="shared" si="14"/>
        <v>0.0916018547194584</v>
      </c>
    </row>
    <row r="924" spans="1:8" ht="14.25" customHeight="1">
      <c r="A924" s="3">
        <f>3</f>
        <v>3</v>
      </c>
      <c r="B924" s="3">
        <f>1</f>
        <v>1</v>
      </c>
      <c r="C924" s="1">
        <f>0</f>
        <v>0</v>
      </c>
      <c r="D924" s="1">
        <f>0</f>
        <v>0</v>
      </c>
      <c r="E924" s="1" t="s">
        <v>1214</v>
      </c>
      <c r="F924" s="1"/>
      <c r="G924" s="5">
        <f>6.2639</f>
        <v>6.2639</v>
      </c>
      <c r="H924" s="7">
        <f t="shared" si="14"/>
        <v>0.002732308846558169</v>
      </c>
    </row>
    <row r="925" spans="1:8" ht="14.25" customHeight="1">
      <c r="A925" s="3">
        <f>0</f>
        <v>0</v>
      </c>
      <c r="B925" s="3">
        <f>1</f>
        <v>1</v>
      </c>
      <c r="C925" s="1">
        <f>0</f>
        <v>0</v>
      </c>
      <c r="D925" s="1">
        <f>0</f>
        <v>0</v>
      </c>
      <c r="E925" s="1" t="s">
        <v>429</v>
      </c>
      <c r="F925" s="1" t="s">
        <v>756</v>
      </c>
      <c r="G925" s="5">
        <f>188.263</f>
        <v>188.263</v>
      </c>
      <c r="H925" s="7">
        <f t="shared" si="14"/>
        <v>0.0821201903573781</v>
      </c>
    </row>
    <row r="926" spans="1:8" ht="14.25" customHeight="1">
      <c r="A926" s="3">
        <f>0</f>
        <v>0</v>
      </c>
      <c r="B926" s="3">
        <f>1</f>
        <v>1</v>
      </c>
      <c r="C926" s="1">
        <f>0</f>
        <v>0</v>
      </c>
      <c r="D926" s="1">
        <f>0</f>
        <v>0</v>
      </c>
      <c r="E926" s="1" t="s">
        <v>1426</v>
      </c>
      <c r="F926" s="1" t="s">
        <v>1392</v>
      </c>
      <c r="G926" s="5">
        <f>446.7333</f>
        <v>446.7333</v>
      </c>
      <c r="H926" s="7">
        <f t="shared" si="14"/>
        <v>0.19486475640449633</v>
      </c>
    </row>
    <row r="927" spans="1:8" ht="14.25" customHeight="1">
      <c r="A927" s="3">
        <f>0</f>
        <v>0</v>
      </c>
      <c r="B927" s="3">
        <f>1</f>
        <v>1</v>
      </c>
      <c r="C927" s="1">
        <f>0</f>
        <v>0</v>
      </c>
      <c r="D927" s="1">
        <f>0</f>
        <v>0</v>
      </c>
      <c r="E927" s="1" t="s">
        <v>430</v>
      </c>
      <c r="F927" s="1" t="s">
        <v>1392</v>
      </c>
      <c r="G927" s="5">
        <f>25.5253</f>
        <v>25.5253</v>
      </c>
      <c r="H927" s="7">
        <f t="shared" si="14"/>
        <v>0.011134118201288533</v>
      </c>
    </row>
    <row r="928" spans="1:8" ht="14.25" customHeight="1">
      <c r="A928" s="3">
        <f>3</f>
        <v>3</v>
      </c>
      <c r="B928" s="3">
        <f>1</f>
        <v>1</v>
      </c>
      <c r="C928" s="1">
        <f>0</f>
        <v>0</v>
      </c>
      <c r="D928" s="1">
        <f>0</f>
        <v>0</v>
      </c>
      <c r="E928" s="1" t="s">
        <v>431</v>
      </c>
      <c r="F928" s="1"/>
      <c r="G928" s="5">
        <f>115.6389</f>
        <v>115.6389</v>
      </c>
      <c r="H928" s="7">
        <f t="shared" si="14"/>
        <v>0.05044160817960943</v>
      </c>
    </row>
    <row r="929" spans="1:8" ht="14.25" customHeight="1">
      <c r="A929" s="3">
        <f>0</f>
        <v>0</v>
      </c>
      <c r="B929" s="3">
        <f>1</f>
        <v>1</v>
      </c>
      <c r="C929" s="1">
        <f>0</f>
        <v>0</v>
      </c>
      <c r="D929" s="1">
        <f>0</f>
        <v>0</v>
      </c>
      <c r="E929" s="1" t="s">
        <v>310</v>
      </c>
      <c r="F929" s="1" t="s">
        <v>1481</v>
      </c>
      <c r="G929" s="5">
        <f>9.2847</f>
        <v>9.2847</v>
      </c>
      <c r="H929" s="7">
        <f t="shared" si="14"/>
        <v>0.00404997971673217</v>
      </c>
    </row>
    <row r="930" spans="1:8" ht="14.25" customHeight="1">
      <c r="A930" s="3">
        <f>0</f>
        <v>0</v>
      </c>
      <c r="B930" s="3">
        <f>1</f>
        <v>1</v>
      </c>
      <c r="C930" s="1">
        <f>0</f>
        <v>0</v>
      </c>
      <c r="D930" s="1">
        <f>0</f>
        <v>0</v>
      </c>
      <c r="E930" s="1" t="s">
        <v>432</v>
      </c>
      <c r="F930" s="1" t="s">
        <v>647</v>
      </c>
      <c r="G930" s="5">
        <f>224.25</f>
        <v>224.25</v>
      </c>
      <c r="H930" s="7">
        <f t="shared" si="14"/>
        <v>0.09781769486113595</v>
      </c>
    </row>
    <row r="931" spans="1:8" ht="14.25" customHeight="1">
      <c r="A931" s="3">
        <f>0</f>
        <v>0</v>
      </c>
      <c r="B931" s="3">
        <f>1</f>
        <v>1</v>
      </c>
      <c r="C931" s="1">
        <f>0</f>
        <v>0</v>
      </c>
      <c r="D931" s="1">
        <f>0</f>
        <v>0</v>
      </c>
      <c r="E931" s="1" t="s">
        <v>365</v>
      </c>
      <c r="F931" s="1" t="s">
        <v>141</v>
      </c>
      <c r="G931" s="5">
        <f>41</f>
        <v>41</v>
      </c>
      <c r="H931" s="7">
        <f t="shared" si="14"/>
        <v>0.017884171635703786</v>
      </c>
    </row>
    <row r="932" spans="1:8" ht="14.25" customHeight="1">
      <c r="A932" s="3">
        <f>3</f>
        <v>3</v>
      </c>
      <c r="B932" s="3">
        <f>1</f>
        <v>1</v>
      </c>
      <c r="C932" s="1">
        <f>0</f>
        <v>0</v>
      </c>
      <c r="D932" s="1">
        <f>0</f>
        <v>0</v>
      </c>
      <c r="E932" s="1" t="s">
        <v>82</v>
      </c>
      <c r="F932" s="1"/>
      <c r="G932" s="5">
        <f>2.5339</f>
        <v>2.5339</v>
      </c>
      <c r="H932" s="7">
        <f t="shared" si="14"/>
        <v>0.0011052854270173127</v>
      </c>
    </row>
    <row r="933" spans="1:8" ht="14.25" customHeight="1">
      <c r="A933" s="3">
        <f>0</f>
        <v>0</v>
      </c>
      <c r="B933" s="3">
        <f>1</f>
        <v>1</v>
      </c>
      <c r="C933" s="1">
        <f>0</f>
        <v>0</v>
      </c>
      <c r="D933" s="1">
        <f>0</f>
        <v>0</v>
      </c>
      <c r="E933" s="1" t="s">
        <v>513</v>
      </c>
      <c r="F933" s="1" t="s">
        <v>318</v>
      </c>
      <c r="G933" s="5">
        <f>38.3333</f>
        <v>38.3333</v>
      </c>
      <c r="H933" s="7">
        <f t="shared" si="14"/>
        <v>0.01672095894055912</v>
      </c>
    </row>
    <row r="934" spans="1:8" ht="14.25" customHeight="1">
      <c r="A934" s="3">
        <f>0</f>
        <v>0</v>
      </c>
      <c r="B934" s="3">
        <f>1</f>
        <v>1</v>
      </c>
      <c r="C934" s="1">
        <f>0</f>
        <v>0</v>
      </c>
      <c r="D934" s="1">
        <f>0</f>
        <v>0</v>
      </c>
      <c r="E934" s="1" t="s">
        <v>433</v>
      </c>
      <c r="F934" s="1" t="s">
        <v>343</v>
      </c>
      <c r="G934" s="5">
        <f>1054.5</f>
        <v>1054.5</v>
      </c>
      <c r="H934" s="7">
        <f t="shared" si="14"/>
        <v>0.4599721704841376</v>
      </c>
    </row>
    <row r="935" spans="1:8" ht="14.25" customHeight="1">
      <c r="A935" s="3">
        <f>0</f>
        <v>0</v>
      </c>
      <c r="B935" s="3">
        <f>1</f>
        <v>1</v>
      </c>
      <c r="C935" s="1">
        <f>0</f>
        <v>0</v>
      </c>
      <c r="D935" s="1">
        <f>0</f>
        <v>0</v>
      </c>
      <c r="E935" s="1" t="s">
        <v>434</v>
      </c>
      <c r="F935" s="1" t="s">
        <v>350</v>
      </c>
      <c r="G935" s="5">
        <f>17.7375</f>
        <v>17.7375</v>
      </c>
      <c r="H935" s="7">
        <f t="shared" si="14"/>
        <v>0.007737085228982827</v>
      </c>
    </row>
    <row r="936" spans="1:8" ht="14.25" customHeight="1">
      <c r="A936" s="3">
        <f>0</f>
        <v>0</v>
      </c>
      <c r="B936" s="3">
        <f>1</f>
        <v>1</v>
      </c>
      <c r="C936" s="1">
        <f>0</f>
        <v>0</v>
      </c>
      <c r="D936" s="1">
        <f>0</f>
        <v>0</v>
      </c>
      <c r="E936" s="1" t="s">
        <v>469</v>
      </c>
      <c r="F936" s="1" t="s">
        <v>672</v>
      </c>
      <c r="G936" s="5">
        <f>276</f>
        <v>276</v>
      </c>
      <c r="H936" s="7">
        <f t="shared" si="14"/>
        <v>0.12039100905985962</v>
      </c>
    </row>
    <row r="937" spans="1:8" ht="14.25" customHeight="1">
      <c r="A937" s="3">
        <f>0</f>
        <v>0</v>
      </c>
      <c r="B937" s="3">
        <f>1</f>
        <v>1</v>
      </c>
      <c r="C937" s="1">
        <f>0</f>
        <v>0</v>
      </c>
      <c r="D937" s="1">
        <f>0</f>
        <v>0</v>
      </c>
      <c r="E937" s="1" t="s">
        <v>393</v>
      </c>
      <c r="F937" s="1" t="s">
        <v>1398</v>
      </c>
      <c r="G937" s="5">
        <f>16.5857</f>
        <v>16.5857</v>
      </c>
      <c r="H937" s="7">
        <f t="shared" si="14"/>
        <v>0.007234670865812007</v>
      </c>
    </row>
    <row r="938" spans="1:8" ht="14.25" customHeight="1">
      <c r="A938" s="3">
        <f>3</f>
        <v>3</v>
      </c>
      <c r="B938" s="3">
        <f>1</f>
        <v>1</v>
      </c>
      <c r="C938" s="1">
        <f>0</f>
        <v>0</v>
      </c>
      <c r="D938" s="1">
        <f>0</f>
        <v>0</v>
      </c>
      <c r="E938" s="1" t="s">
        <v>1120</v>
      </c>
      <c r="F938" s="1"/>
      <c r="G938" s="5">
        <f>5.9667</f>
        <v>5.9667</v>
      </c>
      <c r="H938" s="7">
        <f t="shared" si="14"/>
        <v>0.0026026704121647265</v>
      </c>
    </row>
    <row r="939" spans="1:8" ht="14.25" customHeight="1">
      <c r="A939" s="3">
        <f>3</f>
        <v>3</v>
      </c>
      <c r="B939" s="3">
        <f>1</f>
        <v>1</v>
      </c>
      <c r="C939" s="1">
        <f>0</f>
        <v>0</v>
      </c>
      <c r="D939" s="1">
        <f>0</f>
        <v>0</v>
      </c>
      <c r="E939" s="1" t="s">
        <v>1121</v>
      </c>
      <c r="F939" s="1"/>
      <c r="G939" s="5">
        <f>87.9875</f>
        <v>87.9875</v>
      </c>
      <c r="H939" s="7">
        <f t="shared" si="14"/>
        <v>0.0383800866291826</v>
      </c>
    </row>
    <row r="940" spans="1:8" ht="14.25" customHeight="1">
      <c r="A940" s="3">
        <f>0</f>
        <v>0</v>
      </c>
      <c r="B940" s="3">
        <f>1</f>
        <v>1</v>
      </c>
      <c r="C940" s="1">
        <f>0</f>
        <v>0</v>
      </c>
      <c r="D940" s="1">
        <f>0</f>
        <v>0</v>
      </c>
      <c r="E940" s="1" t="s">
        <v>341</v>
      </c>
      <c r="F940" s="1" t="s">
        <v>1588</v>
      </c>
      <c r="G940" s="5">
        <f>151.6205</f>
        <v>151.6205</v>
      </c>
      <c r="H940" s="7">
        <f t="shared" si="14"/>
        <v>0.06613675720710306</v>
      </c>
    </row>
    <row r="941" spans="1:8" ht="14.25" customHeight="1">
      <c r="A941" s="3">
        <f>3</f>
        <v>3</v>
      </c>
      <c r="B941" s="3">
        <f>1</f>
        <v>1</v>
      </c>
      <c r="C941" s="1">
        <f>0</f>
        <v>0</v>
      </c>
      <c r="D941" s="1">
        <f>0</f>
        <v>0</v>
      </c>
      <c r="E941" s="1" t="s">
        <v>1315</v>
      </c>
      <c r="F941" s="1"/>
      <c r="G941" s="5">
        <f>87.9875</f>
        <v>87.9875</v>
      </c>
      <c r="H941" s="7">
        <f t="shared" si="14"/>
        <v>0.0383800866291826</v>
      </c>
    </row>
    <row r="942" spans="1:8" ht="14.25" customHeight="1">
      <c r="A942" s="3">
        <f>0</f>
        <v>0</v>
      </c>
      <c r="B942" s="3">
        <f>1</f>
        <v>1</v>
      </c>
      <c r="C942" s="1">
        <f>0</f>
        <v>0</v>
      </c>
      <c r="D942" s="1">
        <f>0</f>
        <v>0</v>
      </c>
      <c r="E942" s="1" t="s">
        <v>435</v>
      </c>
      <c r="F942" s="1" t="s">
        <v>1391</v>
      </c>
      <c r="G942" s="5">
        <f>0.2685</f>
        <v>0.2685</v>
      </c>
      <c r="H942" s="7">
        <f t="shared" si="14"/>
        <v>0.00011711951424845041</v>
      </c>
    </row>
    <row r="943" spans="1:8" ht="14.25" customHeight="1">
      <c r="A943" s="3">
        <f>0</f>
        <v>0</v>
      </c>
      <c r="B943" s="3">
        <f>1</f>
        <v>1</v>
      </c>
      <c r="C943" s="1">
        <f>0</f>
        <v>0</v>
      </c>
      <c r="D943" s="1">
        <f>0</f>
        <v>0</v>
      </c>
      <c r="E943" s="1" t="s">
        <v>1176</v>
      </c>
      <c r="F943" s="1" t="s">
        <v>112</v>
      </c>
      <c r="G943" s="5">
        <f>46.9815</f>
        <v>46.9815</v>
      </c>
      <c r="H943" s="7">
        <f t="shared" si="14"/>
        <v>0.020493297797629692</v>
      </c>
    </row>
    <row r="944" spans="1:8" ht="14.25" customHeight="1">
      <c r="A944" s="3">
        <f>0</f>
        <v>0</v>
      </c>
      <c r="B944" s="3">
        <f>1</f>
        <v>1</v>
      </c>
      <c r="C944" s="1">
        <f>0</f>
        <v>0</v>
      </c>
      <c r="D944" s="1">
        <f>0</f>
        <v>0</v>
      </c>
      <c r="E944" s="1" t="s">
        <v>1187</v>
      </c>
      <c r="F944" s="1" t="s">
        <v>188</v>
      </c>
      <c r="G944" s="5">
        <f>7.6406</f>
        <v>7.6406</v>
      </c>
      <c r="H944" s="7">
        <f t="shared" si="14"/>
        <v>0.0033328244341404474</v>
      </c>
    </row>
    <row r="945" spans="1:8" ht="14.25" customHeight="1">
      <c r="A945" s="3">
        <f>0</f>
        <v>0</v>
      </c>
      <c r="B945" s="3">
        <f>2</f>
        <v>2</v>
      </c>
      <c r="C945" s="1">
        <f>0</f>
        <v>0</v>
      </c>
      <c r="D945" s="1">
        <f>0</f>
        <v>0</v>
      </c>
      <c r="E945" s="1" t="s">
        <v>1122</v>
      </c>
      <c r="F945" s="1" t="s">
        <v>1305</v>
      </c>
      <c r="G945" s="5">
        <f>3.875</f>
        <v>3.875</v>
      </c>
      <c r="H945" s="7">
        <f t="shared" si="14"/>
        <v>0.0016902723192281017</v>
      </c>
    </row>
    <row r="946" spans="1:8" ht="14.25" customHeight="1">
      <c r="A946" s="3">
        <f>0</f>
        <v>0</v>
      </c>
      <c r="B946" s="3">
        <f>1</f>
        <v>1</v>
      </c>
      <c r="C946" s="1">
        <f>0</f>
        <v>0</v>
      </c>
      <c r="D946" s="1">
        <f>0</f>
        <v>0</v>
      </c>
      <c r="E946" s="1" t="s">
        <v>1215</v>
      </c>
      <c r="F946" s="1" t="s">
        <v>241</v>
      </c>
      <c r="G946" s="5">
        <f>300.8958</f>
        <v>300.8958</v>
      </c>
      <c r="H946" s="7">
        <f t="shared" si="14"/>
        <v>0.1312505397966439</v>
      </c>
    </row>
    <row r="947" spans="1:8" ht="14.25" customHeight="1">
      <c r="A947" s="3">
        <f>3</f>
        <v>3</v>
      </c>
      <c r="B947" s="3">
        <f>1</f>
        <v>1</v>
      </c>
      <c r="C947" s="1">
        <f>0</f>
        <v>0</v>
      </c>
      <c r="D947" s="1">
        <f>0</f>
        <v>0</v>
      </c>
      <c r="E947" s="1" t="s">
        <v>12</v>
      </c>
      <c r="F947" s="1"/>
      <c r="G947" s="5">
        <f>141.1181</f>
        <v>141.1181</v>
      </c>
      <c r="H947" s="7">
        <f t="shared" si="14"/>
        <v>0.0615556175927905</v>
      </c>
    </row>
    <row r="948" spans="1:8" ht="14.25" customHeight="1">
      <c r="A948" s="3">
        <f>3</f>
        <v>3</v>
      </c>
      <c r="B948" s="3">
        <f>1</f>
        <v>1</v>
      </c>
      <c r="C948" s="1">
        <f>0</f>
        <v>0</v>
      </c>
      <c r="D948" s="1">
        <f>0</f>
        <v>0</v>
      </c>
      <c r="E948" s="1" t="s">
        <v>1018</v>
      </c>
      <c r="F948" s="1"/>
      <c r="G948" s="5">
        <f>318.6563</f>
        <v>318.6563</v>
      </c>
      <c r="H948" s="7">
        <f t="shared" si="14"/>
        <v>0.13899765760971503</v>
      </c>
    </row>
    <row r="949" spans="1:8" ht="14.25" customHeight="1">
      <c r="A949" s="3">
        <f>0</f>
        <v>0</v>
      </c>
      <c r="B949" s="3">
        <f>1</f>
        <v>1</v>
      </c>
      <c r="C949" s="1">
        <f>0</f>
        <v>0</v>
      </c>
      <c r="D949" s="1">
        <f>0</f>
        <v>0</v>
      </c>
      <c r="E949" s="1" t="s">
        <v>905</v>
      </c>
      <c r="F949" s="1" t="s">
        <v>73</v>
      </c>
      <c r="G949" s="5">
        <f>363.5313</f>
        <v>363.5313</v>
      </c>
      <c r="H949" s="7">
        <f t="shared" si="14"/>
        <v>0.1585721015646469</v>
      </c>
    </row>
    <row r="950" spans="1:8" ht="14.25" customHeight="1">
      <c r="A950" s="3">
        <f>3</f>
        <v>3</v>
      </c>
      <c r="B950" s="3">
        <f>1</f>
        <v>1</v>
      </c>
      <c r="C950" s="1">
        <f>0</f>
        <v>0</v>
      </c>
      <c r="D950" s="1">
        <f>0</f>
        <v>0</v>
      </c>
      <c r="E950" s="1" t="s">
        <v>624</v>
      </c>
      <c r="F950" s="1"/>
      <c r="G950" s="5">
        <f>88</f>
        <v>88</v>
      </c>
      <c r="H950" s="7">
        <f t="shared" si="14"/>
        <v>0.03838553912053495</v>
      </c>
    </row>
    <row r="951" spans="1:8" ht="14.25" customHeight="1">
      <c r="A951" s="3">
        <f>3</f>
        <v>3</v>
      </c>
      <c r="B951" s="3">
        <f>1</f>
        <v>1</v>
      </c>
      <c r="C951" s="1">
        <f>0</f>
        <v>0</v>
      </c>
      <c r="D951" s="1">
        <f>0</f>
        <v>0</v>
      </c>
      <c r="E951" s="1" t="s">
        <v>946</v>
      </c>
      <c r="F951" s="1"/>
      <c r="G951" s="5">
        <f>299.6875</f>
        <v>299.6875</v>
      </c>
      <c r="H951" s="7">
        <f t="shared" si="14"/>
        <v>0.13072348017256044</v>
      </c>
    </row>
    <row r="952" spans="1:8" ht="14.25" customHeight="1">
      <c r="A952" s="3">
        <f>3</f>
        <v>3</v>
      </c>
      <c r="B952" s="3">
        <f>1</f>
        <v>1</v>
      </c>
      <c r="C952" s="1">
        <f>0</f>
        <v>0</v>
      </c>
      <c r="D952" s="1">
        <f>0</f>
        <v>0</v>
      </c>
      <c r="E952" s="1" t="s">
        <v>1123</v>
      </c>
      <c r="F952" s="1"/>
      <c r="G952" s="5">
        <f>274.3438</f>
        <v>274.3438</v>
      </c>
      <c r="H952" s="7">
        <f t="shared" si="14"/>
        <v>0.11966857576563883</v>
      </c>
    </row>
    <row r="953" spans="1:8" ht="14.25" customHeight="1">
      <c r="A953" s="3">
        <f>0</f>
        <v>0</v>
      </c>
      <c r="B953" s="3">
        <f>1</f>
        <v>1</v>
      </c>
      <c r="C953" s="1">
        <f>0</f>
        <v>0</v>
      </c>
      <c r="D953" s="1">
        <f>0</f>
        <v>0</v>
      </c>
      <c r="E953" s="1" t="s">
        <v>1468</v>
      </c>
      <c r="F953" s="1" t="s">
        <v>1075</v>
      </c>
      <c r="G953" s="5">
        <f>1311</f>
        <v>1311</v>
      </c>
      <c r="H953" s="7">
        <f t="shared" si="14"/>
        <v>0.5718572930343332</v>
      </c>
    </row>
    <row r="954" spans="1:8" ht="14.25" customHeight="1">
      <c r="A954" s="3">
        <f>0</f>
        <v>0</v>
      </c>
      <c r="B954" s="3">
        <f>1</f>
        <v>1</v>
      </c>
      <c r="C954" s="1">
        <f>0</f>
        <v>0</v>
      </c>
      <c r="D954" s="1">
        <f>0</f>
        <v>0</v>
      </c>
      <c r="E954" s="1" t="s">
        <v>11</v>
      </c>
      <c r="F954" s="1" t="s">
        <v>1288</v>
      </c>
      <c r="G954" s="5">
        <f>16.6316</f>
        <v>16.6316</v>
      </c>
      <c r="H954" s="7">
        <f t="shared" si="14"/>
        <v>0.007254692414057831</v>
      </c>
    </row>
    <row r="955" spans="1:8" ht="14.25" customHeight="1">
      <c r="A955" s="3">
        <f>3</f>
        <v>3</v>
      </c>
      <c r="B955" s="3">
        <f>1</f>
        <v>1</v>
      </c>
      <c r="C955" s="1">
        <f>0</f>
        <v>0</v>
      </c>
      <c r="D955" s="1">
        <f>0</f>
        <v>0</v>
      </c>
      <c r="E955" s="1" t="s">
        <v>453</v>
      </c>
      <c r="F955" s="1"/>
      <c r="G955" s="5">
        <f>32.0175</f>
        <v>32.0175</v>
      </c>
      <c r="H955" s="7">
        <f t="shared" si="14"/>
        <v>0.013966011349905999</v>
      </c>
    </row>
    <row r="956" spans="1:8" ht="14.25" customHeight="1">
      <c r="A956" s="3">
        <f>0</f>
        <v>0</v>
      </c>
      <c r="B956" s="3">
        <f>1</f>
        <v>1</v>
      </c>
      <c r="C956" s="1">
        <f>0</f>
        <v>0</v>
      </c>
      <c r="D956" s="1">
        <f>0</f>
        <v>0</v>
      </c>
      <c r="E956" s="1" t="s">
        <v>1303</v>
      </c>
      <c r="F956" s="1" t="s">
        <v>258</v>
      </c>
      <c r="G956" s="5">
        <f>668.5</f>
        <v>668.5</v>
      </c>
      <c r="H956" s="7">
        <f t="shared" si="14"/>
        <v>0.2915992375236093</v>
      </c>
    </row>
    <row r="957" spans="1:8" ht="14.25" customHeight="1">
      <c r="A957" s="3">
        <f>3</f>
        <v>3</v>
      </c>
      <c r="B957" s="3">
        <f>1</f>
        <v>1</v>
      </c>
      <c r="C957" s="1">
        <f>0</f>
        <v>0</v>
      </c>
      <c r="D957" s="1">
        <f>0</f>
        <v>0</v>
      </c>
      <c r="E957" s="1" t="s">
        <v>1050</v>
      </c>
      <c r="F957" s="1"/>
      <c r="G957" s="5">
        <f>249.5</f>
        <v>249.5</v>
      </c>
      <c r="H957" s="7">
        <f t="shared" si="14"/>
        <v>0.10883172739288036</v>
      </c>
    </row>
    <row r="958" spans="1:8" ht="14.25" customHeight="1">
      <c r="A958" s="3">
        <f>3</f>
        <v>3</v>
      </c>
      <c r="B958" s="3">
        <f>1</f>
        <v>1</v>
      </c>
      <c r="C958" s="1">
        <f>0</f>
        <v>0</v>
      </c>
      <c r="D958" s="1">
        <f>0</f>
        <v>0</v>
      </c>
      <c r="E958" s="1" t="s">
        <v>127</v>
      </c>
      <c r="F958" s="1"/>
      <c r="G958" s="5">
        <f>97.65</f>
        <v>97.65</v>
      </c>
      <c r="H958" s="7">
        <f t="shared" si="14"/>
        <v>0.042594862444548166</v>
      </c>
    </row>
    <row r="959" spans="1:8" ht="14.25" customHeight="1">
      <c r="A959" s="3">
        <f>0</f>
        <v>0</v>
      </c>
      <c r="B959" s="3">
        <f>1</f>
        <v>1</v>
      </c>
      <c r="C959" s="1">
        <f>0</f>
        <v>0</v>
      </c>
      <c r="D959" s="1">
        <f>0</f>
        <v>0</v>
      </c>
      <c r="E959" s="1" t="s">
        <v>527</v>
      </c>
      <c r="F959" s="1" t="s">
        <v>347</v>
      </c>
      <c r="G959" s="5">
        <f>553.5</f>
        <v>553.5</v>
      </c>
      <c r="H959" s="7">
        <f t="shared" si="14"/>
        <v>0.2414363170820011</v>
      </c>
    </row>
    <row r="960" spans="1:8" ht="14.25" customHeight="1">
      <c r="A960" s="3">
        <f>0</f>
        <v>0</v>
      </c>
      <c r="B960" s="3">
        <f>1</f>
        <v>1</v>
      </c>
      <c r="C960" s="1">
        <f>0</f>
        <v>0</v>
      </c>
      <c r="D960" s="1">
        <f>0</f>
        <v>0</v>
      </c>
      <c r="E960" s="1" t="s">
        <v>1216</v>
      </c>
      <c r="F960" s="1" t="s">
        <v>162</v>
      </c>
      <c r="G960" s="5">
        <f>334</f>
        <v>334</v>
      </c>
      <c r="H960" s="7">
        <f t="shared" si="14"/>
        <v>0.14569056893475765</v>
      </c>
    </row>
    <row r="961" spans="1:8" ht="14.25" customHeight="1">
      <c r="A961" s="3">
        <f>3</f>
        <v>3</v>
      </c>
      <c r="B961" s="3">
        <f>1</f>
        <v>1</v>
      </c>
      <c r="C961" s="1">
        <f>0</f>
        <v>0</v>
      </c>
      <c r="D961" s="1">
        <f>0</f>
        <v>0</v>
      </c>
      <c r="E961" s="1" t="s">
        <v>228</v>
      </c>
      <c r="F961" s="1"/>
      <c r="G961" s="5">
        <f>18.2062</f>
        <v>18.2062</v>
      </c>
      <c r="H961" s="7">
        <f t="shared" si="14"/>
        <v>0.007941531844730494</v>
      </c>
    </row>
    <row r="962" spans="1:8" ht="14.25" customHeight="1">
      <c r="A962" s="3">
        <f>3</f>
        <v>3</v>
      </c>
      <c r="B962" s="3">
        <f>1</f>
        <v>1</v>
      </c>
      <c r="C962" s="1">
        <f>0</f>
        <v>0</v>
      </c>
      <c r="D962" s="1">
        <f>0</f>
        <v>0</v>
      </c>
      <c r="E962" s="1" t="s">
        <v>49</v>
      </c>
      <c r="F962" s="1"/>
      <c r="G962" s="5">
        <f>12.875</f>
        <v>12.875</v>
      </c>
      <c r="H962" s="7">
        <f aca="true" t="shared" si="15" ref="H962:H1025">SUM(100/229253*G$1:G$65536)</f>
        <v>0.005616066092919176</v>
      </c>
    </row>
    <row r="963" spans="1:8" ht="14.25" customHeight="1">
      <c r="A963" s="3">
        <f>3</f>
        <v>3</v>
      </c>
      <c r="B963" s="3">
        <f>1</f>
        <v>1</v>
      </c>
      <c r="C963" s="1">
        <f>0</f>
        <v>0</v>
      </c>
      <c r="D963" s="1">
        <f>0</f>
        <v>0</v>
      </c>
      <c r="E963" s="1" t="s">
        <v>50</v>
      </c>
      <c r="F963" s="1"/>
      <c r="G963" s="5">
        <f>31.7014</f>
        <v>31.7014</v>
      </c>
      <c r="H963" s="7">
        <f t="shared" si="15"/>
        <v>0.013828128748587805</v>
      </c>
    </row>
    <row r="964" spans="1:8" ht="14.25" customHeight="1">
      <c r="A964" s="3">
        <f>0</f>
        <v>0</v>
      </c>
      <c r="B964" s="3">
        <f>1</f>
        <v>1</v>
      </c>
      <c r="C964" s="1">
        <f>0</f>
        <v>0</v>
      </c>
      <c r="D964" s="1">
        <f>0</f>
        <v>0</v>
      </c>
      <c r="E964" s="1" t="s">
        <v>1517</v>
      </c>
      <c r="F964" s="1" t="s">
        <v>1493</v>
      </c>
      <c r="G964" s="5">
        <f>334.25</f>
        <v>334.25</v>
      </c>
      <c r="H964" s="7">
        <f t="shared" si="15"/>
        <v>0.14579961876180464</v>
      </c>
    </row>
    <row r="965" spans="1:8" ht="14.25" customHeight="1">
      <c r="A965" s="3">
        <f>0</f>
        <v>0</v>
      </c>
      <c r="B965" s="3">
        <f>1</f>
        <v>1</v>
      </c>
      <c r="C965" s="1">
        <f>0</f>
        <v>0</v>
      </c>
      <c r="D965" s="1">
        <f>0</f>
        <v>0</v>
      </c>
      <c r="E965" s="1" t="s">
        <v>394</v>
      </c>
      <c r="F965" s="1" t="s">
        <v>158</v>
      </c>
      <c r="G965" s="5">
        <f>2132</f>
        <v>2132</v>
      </c>
      <c r="H965" s="7">
        <f t="shared" si="15"/>
        <v>0.9299769250565968</v>
      </c>
    </row>
    <row r="966" spans="1:8" ht="14.25" customHeight="1">
      <c r="A966" s="3">
        <f>0</f>
        <v>0</v>
      </c>
      <c r="B966" s="3">
        <f>1</f>
        <v>1</v>
      </c>
      <c r="C966" s="1">
        <f>0</f>
        <v>0</v>
      </c>
      <c r="D966" s="1">
        <f>0</f>
        <v>0</v>
      </c>
      <c r="E966" s="1" t="s">
        <v>470</v>
      </c>
      <c r="F966" s="1" t="s">
        <v>412</v>
      </c>
      <c r="G966" s="5">
        <f>1792.2872</f>
        <v>1792.2872</v>
      </c>
      <c r="H966" s="7">
        <f t="shared" si="15"/>
        <v>0.7817944367140234</v>
      </c>
    </row>
    <row r="967" spans="1:8" ht="14.25" customHeight="1">
      <c r="A967" s="3">
        <f>3</f>
        <v>3</v>
      </c>
      <c r="B967" s="3">
        <f>1</f>
        <v>1</v>
      </c>
      <c r="C967" s="1">
        <f>0</f>
        <v>0</v>
      </c>
      <c r="D967" s="1">
        <f>0</f>
        <v>0</v>
      </c>
      <c r="E967" s="1" t="s">
        <v>13</v>
      </c>
      <c r="F967" s="1"/>
      <c r="G967" s="5">
        <f>98.25</f>
        <v>98.25</v>
      </c>
      <c r="H967" s="7">
        <f t="shared" si="15"/>
        <v>0.0428565820294609</v>
      </c>
    </row>
    <row r="968" spans="1:8" ht="14.25" customHeight="1">
      <c r="A968" s="3">
        <f>3</f>
        <v>3</v>
      </c>
      <c r="B968" s="3">
        <f>1</f>
        <v>1</v>
      </c>
      <c r="C968" s="1">
        <f>0</f>
        <v>0</v>
      </c>
      <c r="D968" s="1">
        <f>0</f>
        <v>0</v>
      </c>
      <c r="E968" s="1" t="s">
        <v>786</v>
      </c>
      <c r="F968" s="1"/>
      <c r="G968" s="5">
        <f>98.25</f>
        <v>98.25</v>
      </c>
      <c r="H968" s="7">
        <f t="shared" si="15"/>
        <v>0.0428565820294609</v>
      </c>
    </row>
    <row r="969" spans="1:8" ht="14.25" customHeight="1">
      <c r="A969" s="3">
        <f>3</f>
        <v>3</v>
      </c>
      <c r="B969" s="3">
        <f>1</f>
        <v>1</v>
      </c>
      <c r="C969" s="1">
        <f>0</f>
        <v>0</v>
      </c>
      <c r="D969" s="1">
        <f>0</f>
        <v>0</v>
      </c>
      <c r="E969" s="1" t="s">
        <v>51</v>
      </c>
      <c r="F969" s="1"/>
      <c r="G969" s="5">
        <f>375.1667</f>
        <v>375.1667</v>
      </c>
      <c r="H969" s="7">
        <f t="shared" si="15"/>
        <v>0.16364745499513636</v>
      </c>
    </row>
    <row r="970" spans="1:8" ht="14.25" customHeight="1">
      <c r="A970" s="3">
        <f>3</f>
        <v>3</v>
      </c>
      <c r="B970" s="3">
        <f>1</f>
        <v>1</v>
      </c>
      <c r="C970" s="1">
        <f>0</f>
        <v>0</v>
      </c>
      <c r="D970" s="1">
        <f>0</f>
        <v>0</v>
      </c>
      <c r="E970" s="1" t="s">
        <v>1124</v>
      </c>
      <c r="F970" s="1"/>
      <c r="G970" s="5">
        <f>87.5</f>
        <v>87.5</v>
      </c>
      <c r="H970" s="7">
        <f t="shared" si="15"/>
        <v>0.03816743946644101</v>
      </c>
    </row>
    <row r="971" spans="1:8" ht="14.25" customHeight="1">
      <c r="A971" s="3">
        <f>3</f>
        <v>3</v>
      </c>
      <c r="B971" s="3">
        <f>1</f>
        <v>1</v>
      </c>
      <c r="C971" s="1">
        <f>0</f>
        <v>0</v>
      </c>
      <c r="D971" s="1">
        <f>0</f>
        <v>0</v>
      </c>
      <c r="E971" s="1" t="s">
        <v>454</v>
      </c>
      <c r="F971" s="1"/>
      <c r="G971" s="5">
        <f>25.4167</f>
        <v>25.4167</v>
      </c>
      <c r="H971" s="7">
        <f t="shared" si="15"/>
        <v>0.011086746956419325</v>
      </c>
    </row>
    <row r="972" spans="1:8" ht="14.25" customHeight="1">
      <c r="A972" s="3">
        <f>0</f>
        <v>0</v>
      </c>
      <c r="B972" s="3">
        <f>1</f>
        <v>1</v>
      </c>
      <c r="C972" s="1">
        <f>0</f>
        <v>0</v>
      </c>
      <c r="D972" s="1">
        <f>0</f>
        <v>0</v>
      </c>
      <c r="E972" s="1" t="s">
        <v>542</v>
      </c>
      <c r="F972" s="1" t="s">
        <v>1421</v>
      </c>
      <c r="G972" s="5">
        <f>28.4875</f>
        <v>28.4875</v>
      </c>
      <c r="H972" s="7">
        <f t="shared" si="15"/>
        <v>0.012426227792002722</v>
      </c>
    </row>
    <row r="973" spans="1:8" ht="14.25" customHeight="1">
      <c r="A973" s="3">
        <f>0</f>
        <v>0</v>
      </c>
      <c r="B973" s="3">
        <f>1</f>
        <v>1</v>
      </c>
      <c r="C973" s="1">
        <f>0</f>
        <v>0</v>
      </c>
      <c r="D973" s="1">
        <f>0</f>
        <v>0</v>
      </c>
      <c r="E973" s="1" t="s">
        <v>455</v>
      </c>
      <c r="F973" s="1" t="s">
        <v>1525</v>
      </c>
      <c r="G973" s="5">
        <f>1016.425</f>
        <v>1016.425</v>
      </c>
      <c r="H973" s="7">
        <f t="shared" si="15"/>
        <v>0.4433638818248834</v>
      </c>
    </row>
    <row r="974" spans="1:8" ht="14.25" customHeight="1">
      <c r="A974" s="3">
        <f>0</f>
        <v>0</v>
      </c>
      <c r="B974" s="3">
        <f>1</f>
        <v>1</v>
      </c>
      <c r="C974" s="1">
        <f>0</f>
        <v>0</v>
      </c>
      <c r="D974" s="1">
        <f>0</f>
        <v>0</v>
      </c>
      <c r="E974" s="1" t="s">
        <v>342</v>
      </c>
      <c r="F974" s="1" t="s">
        <v>1351</v>
      </c>
      <c r="G974" s="5">
        <f>81.8604</f>
        <v>81.8604</v>
      </c>
      <c r="H974" s="7">
        <f t="shared" si="15"/>
        <v>0.03570744984798454</v>
      </c>
    </row>
    <row r="975" spans="1:8" ht="14.25" customHeight="1">
      <c r="A975" s="3">
        <f>0</f>
        <v>0</v>
      </c>
      <c r="B975" s="3">
        <f>1</f>
        <v>1</v>
      </c>
      <c r="C975" s="1">
        <f>0</f>
        <v>0</v>
      </c>
      <c r="D975" s="1">
        <f>0</f>
        <v>0</v>
      </c>
      <c r="E975" s="1" t="s">
        <v>282</v>
      </c>
      <c r="F975" s="1" t="s">
        <v>288</v>
      </c>
      <c r="G975" s="5">
        <f>19.7176</f>
        <v>19.7176</v>
      </c>
      <c r="H975" s="7">
        <f t="shared" si="15"/>
        <v>0.008600803479125682</v>
      </c>
    </row>
    <row r="976" spans="1:8" ht="14.25" customHeight="1">
      <c r="A976" s="3">
        <f>0</f>
        <v>0</v>
      </c>
      <c r="B976" s="3">
        <f>1</f>
        <v>1</v>
      </c>
      <c r="C976" s="1">
        <f>0</f>
        <v>0</v>
      </c>
      <c r="D976" s="1">
        <f>0</f>
        <v>0</v>
      </c>
      <c r="E976" s="1" t="s">
        <v>1019</v>
      </c>
      <c r="F976" s="1" t="s">
        <v>1384</v>
      </c>
      <c r="G976" s="5">
        <f>2.5833</f>
        <v>2.5833</v>
      </c>
      <c r="H976" s="7">
        <f t="shared" si="15"/>
        <v>0.001126833672841795</v>
      </c>
    </row>
    <row r="977" spans="1:8" ht="14.25" customHeight="1">
      <c r="A977" s="3">
        <f>3</f>
        <v>3</v>
      </c>
      <c r="B977" s="3">
        <f>1</f>
        <v>1</v>
      </c>
      <c r="C977" s="1">
        <f>0</f>
        <v>0</v>
      </c>
      <c r="D977" s="1">
        <f>0</f>
        <v>0</v>
      </c>
      <c r="E977" s="1" t="s">
        <v>1177</v>
      </c>
      <c r="F977" s="1"/>
      <c r="G977" s="5">
        <f>18.7083</f>
        <v>18.7083</v>
      </c>
      <c r="H977" s="7">
        <f t="shared" si="15"/>
        <v>0.008160547517371637</v>
      </c>
    </row>
    <row r="978" spans="1:8" ht="14.25" customHeight="1">
      <c r="A978" s="3">
        <f>0</f>
        <v>0</v>
      </c>
      <c r="B978" s="3">
        <f>1</f>
        <v>1</v>
      </c>
      <c r="C978" s="1">
        <f>0</f>
        <v>0</v>
      </c>
      <c r="D978" s="1">
        <f>0</f>
        <v>0</v>
      </c>
      <c r="E978" s="1" t="s">
        <v>1298</v>
      </c>
      <c r="F978" s="1" t="s">
        <v>272</v>
      </c>
      <c r="G978" s="5">
        <f>96.75</f>
        <v>96.75</v>
      </c>
      <c r="H978" s="7">
        <f t="shared" si="15"/>
        <v>0.042202283067179054</v>
      </c>
    </row>
    <row r="979" spans="1:8" ht="14.25" customHeight="1">
      <c r="A979" s="3">
        <f>0</f>
        <v>0</v>
      </c>
      <c r="B979" s="3">
        <f>1</f>
        <v>1</v>
      </c>
      <c r="C979" s="1">
        <f>0</f>
        <v>0</v>
      </c>
      <c r="D979" s="1">
        <f>0</f>
        <v>0</v>
      </c>
      <c r="E979" s="1" t="s">
        <v>1264</v>
      </c>
      <c r="F979" s="1" t="s">
        <v>1577</v>
      </c>
      <c r="G979" s="5">
        <f>6.6389</f>
        <v>6.6389</v>
      </c>
      <c r="H979" s="7">
        <f t="shared" si="15"/>
        <v>0.0028958835871286306</v>
      </c>
    </row>
    <row r="980" spans="1:8" ht="14.25" customHeight="1">
      <c r="A980" s="3">
        <f>0</f>
        <v>0</v>
      </c>
      <c r="B980" s="3">
        <f>1</f>
        <v>1</v>
      </c>
      <c r="C980" s="1">
        <f>0</f>
        <v>0</v>
      </c>
      <c r="D980" s="1">
        <f>0</f>
        <v>0</v>
      </c>
      <c r="E980" s="1" t="s">
        <v>519</v>
      </c>
      <c r="F980" s="1" t="s">
        <v>1093</v>
      </c>
      <c r="G980" s="5">
        <f>16.5833</f>
        <v>16.5833</v>
      </c>
      <c r="H980" s="7">
        <f t="shared" si="15"/>
        <v>0.007233623987472356</v>
      </c>
    </row>
    <row r="981" spans="1:8" ht="14.25" customHeight="1">
      <c r="A981" s="3">
        <f>3</f>
        <v>3</v>
      </c>
      <c r="B981" s="3">
        <f>1</f>
        <v>1</v>
      </c>
      <c r="C981" s="1">
        <f>0</f>
        <v>0</v>
      </c>
      <c r="D981" s="1">
        <f>0</f>
        <v>0</v>
      </c>
      <c r="E981" s="1" t="s">
        <v>256</v>
      </c>
      <c r="F981" s="1"/>
      <c r="G981" s="5">
        <f>130</f>
        <v>130</v>
      </c>
      <c r="H981" s="7">
        <f t="shared" si="15"/>
        <v>0.056705910064426636</v>
      </c>
    </row>
    <row r="982" spans="1:8" ht="14.25" customHeight="1">
      <c r="A982" s="3">
        <f>3</f>
        <v>3</v>
      </c>
      <c r="B982" s="3">
        <f>1</f>
        <v>1</v>
      </c>
      <c r="C982" s="1">
        <f>0</f>
        <v>0</v>
      </c>
      <c r="D982" s="1">
        <f>0</f>
        <v>0</v>
      </c>
      <c r="E982" s="1" t="s">
        <v>436</v>
      </c>
      <c r="F982" s="1"/>
      <c r="G982" s="5">
        <f>24.5</f>
        <v>24.5</v>
      </c>
      <c r="H982" s="7">
        <f t="shared" si="15"/>
        <v>0.010686883050603481</v>
      </c>
    </row>
    <row r="983" spans="1:8" ht="14.25" customHeight="1">
      <c r="A983" s="3">
        <f>0</f>
        <v>0</v>
      </c>
      <c r="B983" s="3">
        <f>1</f>
        <v>1</v>
      </c>
      <c r="C983" s="1">
        <f>0</f>
        <v>0</v>
      </c>
      <c r="D983" s="1">
        <f>0</f>
        <v>0</v>
      </c>
      <c r="E983" s="1" t="s">
        <v>1265</v>
      </c>
      <c r="F983" s="1" t="s">
        <v>1587</v>
      </c>
      <c r="G983" s="5">
        <f>1947.1806</f>
        <v>1947.1806</v>
      </c>
      <c r="H983" s="7">
        <f t="shared" si="15"/>
        <v>0.8493588306368945</v>
      </c>
    </row>
    <row r="984" spans="1:8" ht="14.25" customHeight="1">
      <c r="A984" s="3">
        <f>3</f>
        <v>3</v>
      </c>
      <c r="B984" s="3">
        <f>1</f>
        <v>1</v>
      </c>
      <c r="C984" s="1">
        <f>0</f>
        <v>0</v>
      </c>
      <c r="D984" s="1">
        <f>0</f>
        <v>0</v>
      </c>
      <c r="E984" s="1" t="s">
        <v>929</v>
      </c>
      <c r="F984" s="1"/>
      <c r="G984" s="5">
        <f>29.125</f>
        <v>29.125</v>
      </c>
      <c r="H984" s="7">
        <f t="shared" si="15"/>
        <v>0.012704304850972506</v>
      </c>
    </row>
    <row r="985" spans="1:8" ht="14.25" customHeight="1">
      <c r="A985" s="3">
        <f>3</f>
        <v>3</v>
      </c>
      <c r="B985" s="3">
        <f>1</f>
        <v>1</v>
      </c>
      <c r="C985" s="1">
        <f>0</f>
        <v>0</v>
      </c>
      <c r="D985" s="1">
        <f>0</f>
        <v>0</v>
      </c>
      <c r="E985" s="1" t="s">
        <v>437</v>
      </c>
      <c r="F985" s="1"/>
      <c r="G985" s="5">
        <f>438</f>
        <v>438</v>
      </c>
      <c r="H985" s="7">
        <f t="shared" si="15"/>
        <v>0.19105529698629897</v>
      </c>
    </row>
    <row r="986" spans="1:8" ht="14.25" customHeight="1">
      <c r="A986" s="3">
        <f>0</f>
        <v>0</v>
      </c>
      <c r="B986" s="3">
        <f>1</f>
        <v>1</v>
      </c>
      <c r="C986" s="1">
        <f>0</f>
        <v>0</v>
      </c>
      <c r="D986" s="1">
        <f>0</f>
        <v>0</v>
      </c>
      <c r="E986" s="1" t="s">
        <v>395</v>
      </c>
      <c r="F986" s="1" t="s">
        <v>70</v>
      </c>
      <c r="G986" s="5">
        <f>7.8833</f>
        <v>7.8833</v>
      </c>
      <c r="H986" s="7">
        <f t="shared" si="15"/>
        <v>0.00343869000623765</v>
      </c>
    </row>
    <row r="987" spans="1:8" ht="14.25" customHeight="1">
      <c r="A987" s="3">
        <f>0</f>
        <v>0</v>
      </c>
      <c r="B987" s="3">
        <f>1</f>
        <v>1</v>
      </c>
      <c r="C987" s="1">
        <f>0</f>
        <v>0</v>
      </c>
      <c r="D987" s="1">
        <f>0</f>
        <v>0</v>
      </c>
      <c r="E987" s="1" t="s">
        <v>344</v>
      </c>
      <c r="F987" s="1" t="s">
        <v>459</v>
      </c>
      <c r="G987" s="5">
        <f>186.2583</f>
        <v>186.2583</v>
      </c>
      <c r="H987" s="7">
        <f t="shared" si="15"/>
        <v>0.08124574160425381</v>
      </c>
    </row>
    <row r="988" spans="1:8" ht="14.25" customHeight="1">
      <c r="A988" s="3">
        <f>3</f>
        <v>3</v>
      </c>
      <c r="B988" s="3">
        <f>1</f>
        <v>1</v>
      </c>
      <c r="C988" s="1">
        <f>0</f>
        <v>0</v>
      </c>
      <c r="D988" s="1">
        <f>0</f>
        <v>0</v>
      </c>
      <c r="E988" s="1" t="s">
        <v>1428</v>
      </c>
      <c r="F988" s="1"/>
      <c r="G988" s="5">
        <f>65.9583</f>
        <v>65.9583</v>
      </c>
      <c r="H988" s="7">
        <f t="shared" si="15"/>
        <v>0.028770964829249776</v>
      </c>
    </row>
    <row r="989" spans="1:8" ht="14.25" customHeight="1">
      <c r="A989" s="3">
        <f>3</f>
        <v>3</v>
      </c>
      <c r="B989" s="3">
        <f>1</f>
        <v>1</v>
      </c>
      <c r="C989" s="1">
        <f>0</f>
        <v>0</v>
      </c>
      <c r="D989" s="1">
        <f>0</f>
        <v>0</v>
      </c>
      <c r="E989" s="1" t="s">
        <v>886</v>
      </c>
      <c r="F989" s="1"/>
      <c r="G989" s="5">
        <f>557</f>
        <v>557</v>
      </c>
      <c r="H989" s="7">
        <f t="shared" si="15"/>
        <v>0.24296301466065875</v>
      </c>
    </row>
    <row r="990" spans="1:8" ht="14.25" customHeight="1">
      <c r="A990" s="3">
        <f>0</f>
        <v>0</v>
      </c>
      <c r="B990" s="3">
        <f>1</f>
        <v>1</v>
      </c>
      <c r="C990" s="1">
        <f>0</f>
        <v>0</v>
      </c>
      <c r="D990" s="1">
        <f>0</f>
        <v>0</v>
      </c>
      <c r="E990" s="1" t="s">
        <v>283</v>
      </c>
      <c r="F990" s="1" t="s">
        <v>1440</v>
      </c>
      <c r="G990" s="5">
        <f>608.3333</f>
        <v>608.3333</v>
      </c>
      <c r="H990" s="7">
        <f t="shared" si="15"/>
        <v>0.26535456460766055</v>
      </c>
    </row>
    <row r="991" spans="1:8" ht="14.25" customHeight="1">
      <c r="A991" s="3">
        <f>3</f>
        <v>3</v>
      </c>
      <c r="B991" s="3">
        <f>1</f>
        <v>1</v>
      </c>
      <c r="C991" s="1">
        <f>0</f>
        <v>0</v>
      </c>
      <c r="D991" s="1">
        <f>0</f>
        <v>0</v>
      </c>
      <c r="E991" s="1" t="s">
        <v>1470</v>
      </c>
      <c r="F991" s="1"/>
      <c r="G991" s="5">
        <f>25.875</f>
        <v>25.875</v>
      </c>
      <c r="H991" s="7">
        <f t="shared" si="15"/>
        <v>0.01128665709936184</v>
      </c>
    </row>
    <row r="992" spans="1:8" ht="14.25" customHeight="1">
      <c r="A992" s="3">
        <f>0</f>
        <v>0</v>
      </c>
      <c r="B992" s="3">
        <f>2</f>
        <v>2</v>
      </c>
      <c r="C992" s="1">
        <f>0</f>
        <v>0</v>
      </c>
      <c r="D992" s="1">
        <f>0</f>
        <v>0</v>
      </c>
      <c r="E992" s="1" t="s">
        <v>229</v>
      </c>
      <c r="F992" s="1" t="s">
        <v>1267</v>
      </c>
      <c r="G992" s="5">
        <f>911</f>
        <v>911</v>
      </c>
      <c r="H992" s="7">
        <f t="shared" si="15"/>
        <v>0.3973775697591744</v>
      </c>
    </row>
    <row r="993" spans="1:8" ht="14.25" customHeight="1">
      <c r="A993" s="3">
        <f>0</f>
        <v>0</v>
      </c>
      <c r="B993" s="3">
        <f>1</f>
        <v>1</v>
      </c>
      <c r="C993" s="1">
        <f>0</f>
        <v>0</v>
      </c>
      <c r="D993" s="1">
        <f>0</f>
        <v>0</v>
      </c>
      <c r="E993" s="1" t="s">
        <v>1256</v>
      </c>
      <c r="F993" s="1" t="s">
        <v>1061</v>
      </c>
      <c r="G993" s="5">
        <f>110.0532</f>
        <v>110.0532</v>
      </c>
      <c r="H993" s="7">
        <f t="shared" si="15"/>
        <v>0.04800512970386429</v>
      </c>
    </row>
    <row r="994" spans="1:8" ht="14.25" customHeight="1">
      <c r="A994" s="3">
        <f>3</f>
        <v>3</v>
      </c>
      <c r="B994" s="3">
        <f>1</f>
        <v>1</v>
      </c>
      <c r="C994" s="1">
        <f>0</f>
        <v>0</v>
      </c>
      <c r="D994" s="1">
        <f>0</f>
        <v>0</v>
      </c>
      <c r="E994" s="1" t="s">
        <v>824</v>
      </c>
      <c r="F994" s="1"/>
      <c r="G994" s="5">
        <f>818.5417</f>
        <v>818.5417</v>
      </c>
      <c r="H994" s="7">
        <f t="shared" si="15"/>
        <v>0.3570473232629453</v>
      </c>
    </row>
    <row r="995" spans="1:8" ht="14.25" customHeight="1">
      <c r="A995" s="3">
        <f>3</f>
        <v>3</v>
      </c>
      <c r="B995" s="3">
        <f>1</f>
        <v>1</v>
      </c>
      <c r="C995" s="1">
        <f>0</f>
        <v>0</v>
      </c>
      <c r="D995" s="1">
        <f>0</f>
        <v>0</v>
      </c>
      <c r="E995" s="1" t="s">
        <v>887</v>
      </c>
      <c r="F995" s="1"/>
      <c r="G995" s="5">
        <f>50.7188</f>
        <v>50.7188</v>
      </c>
      <c r="H995" s="7">
        <f t="shared" si="15"/>
        <v>0.02212350547212032</v>
      </c>
    </row>
    <row r="996" spans="1:8" ht="14.25" customHeight="1">
      <c r="A996" s="3">
        <f>3</f>
        <v>3</v>
      </c>
      <c r="B996" s="3">
        <f>1</f>
        <v>1</v>
      </c>
      <c r="C996" s="1">
        <f>0</f>
        <v>0</v>
      </c>
      <c r="D996" s="1">
        <f>0</f>
        <v>0</v>
      </c>
      <c r="E996" s="1" t="s">
        <v>503</v>
      </c>
      <c r="F996" s="1"/>
      <c r="G996" s="5">
        <f>26</f>
        <v>26</v>
      </c>
      <c r="H996" s="7">
        <f t="shared" si="15"/>
        <v>0.011341182012885326</v>
      </c>
    </row>
    <row r="997" spans="1:8" ht="14.25" customHeight="1">
      <c r="A997" s="3">
        <f>3</f>
        <v>3</v>
      </c>
      <c r="B997" s="3">
        <f>1</f>
        <v>1</v>
      </c>
      <c r="C997" s="1">
        <f>0</f>
        <v>0</v>
      </c>
      <c r="D997" s="1">
        <f>0</f>
        <v>0</v>
      </c>
      <c r="E997" s="1" t="s">
        <v>888</v>
      </c>
      <c r="F997" s="1"/>
      <c r="G997" s="5">
        <f>50.7188</f>
        <v>50.7188</v>
      </c>
      <c r="H997" s="7">
        <f t="shared" si="15"/>
        <v>0.02212350547212032</v>
      </c>
    </row>
    <row r="998" spans="1:8" ht="14.25" customHeight="1">
      <c r="A998" s="3">
        <f>3</f>
        <v>3</v>
      </c>
      <c r="B998" s="3">
        <f>1</f>
        <v>1</v>
      </c>
      <c r="C998" s="1">
        <f>0</f>
        <v>0</v>
      </c>
      <c r="D998" s="1">
        <f>0</f>
        <v>0</v>
      </c>
      <c r="E998" s="1" t="s">
        <v>947</v>
      </c>
      <c r="F998" s="1"/>
      <c r="G998" s="5">
        <f>50.7188</f>
        <v>50.7188</v>
      </c>
      <c r="H998" s="7">
        <f t="shared" si="15"/>
        <v>0.02212350547212032</v>
      </c>
    </row>
    <row r="999" spans="1:8" ht="14.25" customHeight="1">
      <c r="A999" s="3">
        <f>3</f>
        <v>3</v>
      </c>
      <c r="B999" s="3">
        <f>1</f>
        <v>1</v>
      </c>
      <c r="C999" s="1">
        <f>0</f>
        <v>0</v>
      </c>
      <c r="D999" s="1">
        <f>0</f>
        <v>0</v>
      </c>
      <c r="E999" s="1" t="s">
        <v>311</v>
      </c>
      <c r="F999" s="1"/>
      <c r="G999" s="5">
        <f>40.5429</f>
        <v>40.5429</v>
      </c>
      <c r="H999" s="7">
        <f t="shared" si="15"/>
        <v>0.0176847849319311</v>
      </c>
    </row>
    <row r="1000" spans="1:8" ht="14.25" customHeight="1">
      <c r="A1000" s="3">
        <f>3</f>
        <v>3</v>
      </c>
      <c r="B1000" s="3">
        <f>1</f>
        <v>1</v>
      </c>
      <c r="C1000" s="1">
        <f>0</f>
        <v>0</v>
      </c>
      <c r="D1000" s="1">
        <f>0</f>
        <v>0</v>
      </c>
      <c r="E1000" s="1" t="s">
        <v>1051</v>
      </c>
      <c r="F1000" s="1"/>
      <c r="G1000" s="5">
        <f>50.7188</f>
        <v>50.7188</v>
      </c>
      <c r="H1000" s="7">
        <f t="shared" si="15"/>
        <v>0.02212350547212032</v>
      </c>
    </row>
    <row r="1001" spans="1:8" ht="14.25" customHeight="1">
      <c r="A1001" s="3">
        <f>0</f>
        <v>0</v>
      </c>
      <c r="B1001" s="3">
        <f>1</f>
        <v>1</v>
      </c>
      <c r="C1001" s="1">
        <f>0</f>
        <v>0</v>
      </c>
      <c r="D1001" s="1">
        <f>0</f>
        <v>0</v>
      </c>
      <c r="E1001" s="1" t="s">
        <v>1427</v>
      </c>
      <c r="F1001" s="1" t="s">
        <v>1076</v>
      </c>
      <c r="G1001" s="5">
        <f>84.5438</f>
        <v>84.5438</v>
      </c>
      <c r="H1001" s="7">
        <f t="shared" si="15"/>
        <v>0.03687794707157595</v>
      </c>
    </row>
    <row r="1002" spans="1:8" ht="14.25" customHeight="1">
      <c r="A1002" s="3">
        <f>0</f>
        <v>0</v>
      </c>
      <c r="B1002" s="3">
        <f>1</f>
        <v>1</v>
      </c>
      <c r="C1002" s="1">
        <f>0</f>
        <v>0</v>
      </c>
      <c r="D1002" s="1">
        <f>0</f>
        <v>0</v>
      </c>
      <c r="E1002" s="1" t="s">
        <v>1229</v>
      </c>
      <c r="F1002" s="1" t="s">
        <v>1008</v>
      </c>
      <c r="G1002" s="5">
        <f>33.1771</f>
        <v>33.1771</v>
      </c>
      <c r="H1002" s="7">
        <f t="shared" si="15"/>
        <v>0.014471828067680685</v>
      </c>
    </row>
    <row r="1003" spans="1:8" ht="14.25" customHeight="1">
      <c r="A1003" s="3">
        <f>0</f>
        <v>0</v>
      </c>
      <c r="B1003" s="3">
        <f>1</f>
        <v>1</v>
      </c>
      <c r="C1003" s="1">
        <f>0</f>
        <v>0</v>
      </c>
      <c r="D1003" s="1">
        <f>0</f>
        <v>0</v>
      </c>
      <c r="E1003" s="1" t="s">
        <v>1217</v>
      </c>
      <c r="F1003" s="1" t="s">
        <v>132</v>
      </c>
      <c r="G1003" s="5">
        <f>1344</f>
        <v>1344</v>
      </c>
      <c r="H1003" s="7">
        <f t="shared" si="15"/>
        <v>0.5862518702045338</v>
      </c>
    </row>
    <row r="1004" spans="1:8" ht="14.25" customHeight="1">
      <c r="A1004" s="3">
        <f>3</f>
        <v>3</v>
      </c>
      <c r="B1004" s="3">
        <f>1</f>
        <v>1</v>
      </c>
      <c r="C1004" s="1">
        <f>0</f>
        <v>0</v>
      </c>
      <c r="D1004" s="1">
        <f>0</f>
        <v>0</v>
      </c>
      <c r="E1004" s="1" t="s">
        <v>257</v>
      </c>
      <c r="F1004" s="1"/>
      <c r="G1004" s="5">
        <f>17.4343</f>
        <v>17.4343</v>
      </c>
      <c r="H1004" s="7">
        <f t="shared" si="15"/>
        <v>0.007604829598740257</v>
      </c>
    </row>
    <row r="1005" spans="1:8" ht="14.25" customHeight="1">
      <c r="A1005" s="3">
        <f>0</f>
        <v>0</v>
      </c>
      <c r="B1005" s="3">
        <f>1</f>
        <v>1</v>
      </c>
      <c r="C1005" s="1">
        <f>0</f>
        <v>0</v>
      </c>
      <c r="D1005" s="1">
        <f>0</f>
        <v>0</v>
      </c>
      <c r="E1005" s="1" t="s">
        <v>930</v>
      </c>
      <c r="F1005" s="1" t="s">
        <v>71</v>
      </c>
      <c r="G1005" s="5">
        <f>539.2798</f>
        <v>539.2798</v>
      </c>
      <c r="H1005" s="7">
        <f t="shared" si="15"/>
        <v>0.23523347567970757</v>
      </c>
    </row>
    <row r="1006" spans="1:8" ht="14.25" customHeight="1">
      <c r="A1006" s="3">
        <f>3</f>
        <v>3</v>
      </c>
      <c r="B1006" s="3">
        <f>1</f>
        <v>1</v>
      </c>
      <c r="C1006" s="1">
        <f>0</f>
        <v>0</v>
      </c>
      <c r="D1006" s="1">
        <f>0</f>
        <v>0</v>
      </c>
      <c r="E1006" s="1" t="s">
        <v>1164</v>
      </c>
      <c r="F1006" s="1"/>
      <c r="G1006" s="5">
        <f>89.0833</f>
        <v>89.0833</v>
      </c>
      <c r="H1006" s="7">
        <f t="shared" si="15"/>
        <v>0.0388580738310949</v>
      </c>
    </row>
    <row r="1007" spans="1:8" ht="14.25" customHeight="1">
      <c r="A1007" s="3">
        <f>3</f>
        <v>3</v>
      </c>
      <c r="B1007" s="3">
        <f>1</f>
        <v>1</v>
      </c>
      <c r="C1007" s="1">
        <f>0</f>
        <v>0</v>
      </c>
      <c r="D1007" s="1">
        <f>0</f>
        <v>0</v>
      </c>
      <c r="E1007" s="1" t="s">
        <v>738</v>
      </c>
      <c r="F1007" s="1"/>
      <c r="G1007" s="5">
        <f>1009.6587</f>
        <v>1009.6587</v>
      </c>
      <c r="H1007" s="7">
        <f t="shared" si="15"/>
        <v>0.4404124264458916</v>
      </c>
    </row>
    <row r="1008" spans="1:8" ht="14.25" customHeight="1">
      <c r="A1008" s="3">
        <f>0</f>
        <v>0</v>
      </c>
      <c r="B1008" s="3">
        <f>1</f>
        <v>1</v>
      </c>
      <c r="C1008" s="1">
        <f>0</f>
        <v>0</v>
      </c>
      <c r="D1008" s="1">
        <f>0</f>
        <v>0</v>
      </c>
      <c r="E1008" s="1" t="s">
        <v>871</v>
      </c>
      <c r="F1008" s="1" t="s">
        <v>1582</v>
      </c>
      <c r="G1008" s="5">
        <f>97.2778</f>
        <v>97.2778</v>
      </c>
      <c r="H1008" s="7">
        <f t="shared" si="15"/>
        <v>0.04243250906204062</v>
      </c>
    </row>
    <row r="1009" spans="1:8" ht="14.25" customHeight="1">
      <c r="A1009" s="3">
        <f>3</f>
        <v>3</v>
      </c>
      <c r="B1009" s="3">
        <f>1</f>
        <v>1</v>
      </c>
      <c r="C1009" s="1">
        <f>0</f>
        <v>0</v>
      </c>
      <c r="D1009" s="1">
        <f>0</f>
        <v>0</v>
      </c>
      <c r="E1009" s="1" t="s">
        <v>931</v>
      </c>
      <c r="F1009" s="1"/>
      <c r="G1009" s="5">
        <f>79.0635</f>
        <v>79.0635</v>
      </c>
      <c r="H1009" s="7">
        <f t="shared" si="15"/>
        <v>0.034487444002913814</v>
      </c>
    </row>
    <row r="1010" spans="1:8" ht="14.25" customHeight="1">
      <c r="A1010" s="3">
        <f>3</f>
        <v>3</v>
      </c>
      <c r="B1010" s="3">
        <f>1</f>
        <v>1</v>
      </c>
      <c r="C1010" s="1">
        <f>0</f>
        <v>0</v>
      </c>
      <c r="D1010" s="1">
        <f>0</f>
        <v>0</v>
      </c>
      <c r="E1010" s="1" t="s">
        <v>1006</v>
      </c>
      <c r="F1010" s="1"/>
      <c r="G1010" s="5">
        <f>37</f>
        <v>37</v>
      </c>
      <c r="H1010" s="7">
        <f t="shared" si="15"/>
        <v>0.016139374402952197</v>
      </c>
    </row>
    <row r="1011" spans="1:8" ht="14.25" customHeight="1">
      <c r="A1011" s="3">
        <f>0</f>
        <v>0</v>
      </c>
      <c r="B1011" s="3">
        <f>1</f>
        <v>1</v>
      </c>
      <c r="C1011" s="1">
        <f>0</f>
        <v>0</v>
      </c>
      <c r="D1011" s="1">
        <f>0</f>
        <v>0</v>
      </c>
      <c r="E1011" s="1" t="s">
        <v>906</v>
      </c>
      <c r="F1011" s="1" t="s">
        <v>348</v>
      </c>
      <c r="G1011" s="5">
        <f>63.6111</f>
        <v>63.6111</v>
      </c>
      <c r="H1011" s="7">
        <f t="shared" si="15"/>
        <v>0.027747117813071147</v>
      </c>
    </row>
    <row r="1012" spans="1:8" ht="14.25" customHeight="1">
      <c r="A1012" s="3">
        <f>3</f>
        <v>3</v>
      </c>
      <c r="B1012" s="3">
        <f>1</f>
        <v>1</v>
      </c>
      <c r="C1012" s="1">
        <f>0</f>
        <v>0</v>
      </c>
      <c r="D1012" s="1">
        <f>0</f>
        <v>0</v>
      </c>
      <c r="E1012" s="1" t="s">
        <v>504</v>
      </c>
      <c r="F1012" s="1"/>
      <c r="G1012" s="5">
        <f>107</f>
        <v>107</v>
      </c>
      <c r="H1012" s="7">
        <f t="shared" si="15"/>
        <v>0.046673325976105004</v>
      </c>
    </row>
    <row r="1013" spans="1:8" ht="14.25" customHeight="1">
      <c r="A1013" s="3">
        <f>3</f>
        <v>3</v>
      </c>
      <c r="B1013" s="3">
        <f>1</f>
        <v>1</v>
      </c>
      <c r="C1013" s="1">
        <f>0</f>
        <v>0</v>
      </c>
      <c r="D1013" s="1">
        <f>0</f>
        <v>0</v>
      </c>
      <c r="E1013" s="1" t="s">
        <v>1138</v>
      </c>
      <c r="F1013" s="1"/>
      <c r="G1013" s="5">
        <f>474.6296</f>
        <v>474.6296</v>
      </c>
      <c r="H1013" s="7">
        <f t="shared" si="15"/>
        <v>0.20703310316549836</v>
      </c>
    </row>
    <row r="1014" spans="1:8" ht="14.25" customHeight="1">
      <c r="A1014" s="3">
        <f>0</f>
        <v>0</v>
      </c>
      <c r="B1014" s="3">
        <f>1</f>
        <v>1</v>
      </c>
      <c r="C1014" s="1">
        <f>0</f>
        <v>0</v>
      </c>
      <c r="D1014" s="1">
        <f>0</f>
        <v>0</v>
      </c>
      <c r="E1014" s="1" t="s">
        <v>1230</v>
      </c>
      <c r="F1014" s="1" t="s">
        <v>89</v>
      </c>
      <c r="G1014" s="5">
        <f>469</f>
        <v>469</v>
      </c>
      <c r="H1014" s="7">
        <f t="shared" si="15"/>
        <v>0.2045774755401238</v>
      </c>
    </row>
    <row r="1015" spans="1:8" ht="14.25" customHeight="1">
      <c r="A1015" s="3">
        <f>3</f>
        <v>3</v>
      </c>
      <c r="B1015" s="3">
        <f>1</f>
        <v>1</v>
      </c>
      <c r="C1015" s="1">
        <f>0</f>
        <v>0</v>
      </c>
      <c r="D1015" s="1">
        <f>0</f>
        <v>0</v>
      </c>
      <c r="E1015" s="1" t="s">
        <v>178</v>
      </c>
      <c r="F1015" s="1"/>
      <c r="G1015" s="5">
        <f>22.1648</f>
        <v>22.1648</v>
      </c>
      <c r="H1015" s="7">
        <f t="shared" si="15"/>
        <v>0.009668270426123103</v>
      </c>
    </row>
    <row r="1016" spans="1:8" ht="14.25" customHeight="1">
      <c r="A1016" s="3">
        <f>3</f>
        <v>3</v>
      </c>
      <c r="B1016" s="3">
        <f>1</f>
        <v>1</v>
      </c>
      <c r="C1016" s="1">
        <f>0</f>
        <v>0</v>
      </c>
      <c r="D1016" s="1">
        <f>0</f>
        <v>0</v>
      </c>
      <c r="E1016" s="1" t="s">
        <v>471</v>
      </c>
      <c r="F1016" s="1"/>
      <c r="G1016" s="5">
        <f>53.381</f>
        <v>53.381</v>
      </c>
      <c r="H1016" s="7">
        <f t="shared" si="15"/>
        <v>0.02328475527037814</v>
      </c>
    </row>
    <row r="1017" spans="1:8" ht="14.25" customHeight="1">
      <c r="A1017" s="3">
        <f>3</f>
        <v>3</v>
      </c>
      <c r="B1017" s="3">
        <f>1</f>
        <v>1</v>
      </c>
      <c r="C1017" s="1">
        <f>0</f>
        <v>0</v>
      </c>
      <c r="D1017" s="1">
        <f>0</f>
        <v>0</v>
      </c>
      <c r="E1017" s="1" t="s">
        <v>1020</v>
      </c>
      <c r="F1017" s="1"/>
      <c r="G1017" s="5">
        <f>222.8214</f>
        <v>222.8214</v>
      </c>
      <c r="H1017" s="7">
        <f t="shared" si="15"/>
        <v>0.09719454052945872</v>
      </c>
    </row>
    <row r="1018" spans="1:8" ht="14.25" customHeight="1">
      <c r="A1018" s="3">
        <f>0</f>
        <v>0</v>
      </c>
      <c r="B1018" s="3">
        <f>1</f>
        <v>1</v>
      </c>
      <c r="C1018" s="1">
        <f>0</f>
        <v>0</v>
      </c>
      <c r="D1018" s="1">
        <f>0</f>
        <v>0</v>
      </c>
      <c r="E1018" s="1" t="s">
        <v>1257</v>
      </c>
      <c r="F1018" s="1" t="s">
        <v>140</v>
      </c>
      <c r="G1018" s="5">
        <f>114.75</f>
        <v>114.75</v>
      </c>
      <c r="H1018" s="7">
        <f t="shared" si="15"/>
        <v>0.0500538706145612</v>
      </c>
    </row>
    <row r="1019" spans="1:8" ht="14.25" customHeight="1">
      <c r="A1019" s="3">
        <f>3</f>
        <v>3</v>
      </c>
      <c r="B1019" s="3">
        <f>1</f>
        <v>1</v>
      </c>
      <c r="C1019" s="1">
        <f>0</f>
        <v>0</v>
      </c>
      <c r="D1019" s="1">
        <f>0</f>
        <v>0</v>
      </c>
      <c r="E1019" s="1" t="s">
        <v>1304</v>
      </c>
      <c r="F1019" s="1"/>
      <c r="G1019" s="5">
        <f>883.9048</f>
        <v>883.9048</v>
      </c>
      <c r="H1019" s="7">
        <f t="shared" si="15"/>
        <v>0.3855586622639616</v>
      </c>
    </row>
    <row r="1020" spans="1:8" ht="14.25" customHeight="1">
      <c r="A1020" s="3">
        <f>0</f>
        <v>0</v>
      </c>
      <c r="B1020" s="3">
        <f>1</f>
        <v>1</v>
      </c>
      <c r="C1020" s="1">
        <f>0</f>
        <v>0</v>
      </c>
      <c r="D1020" s="1">
        <f>0</f>
        <v>0</v>
      </c>
      <c r="E1020" s="1" t="s">
        <v>1231</v>
      </c>
      <c r="F1020" s="1" t="s">
        <v>1469</v>
      </c>
      <c r="G1020" s="5">
        <f>29.4991</f>
        <v>29.4991</v>
      </c>
      <c r="H1020" s="7">
        <f t="shared" si="15"/>
        <v>0.012867487012165597</v>
      </c>
    </row>
    <row r="1021" spans="1:8" ht="14.25" customHeight="1">
      <c r="A1021" s="3">
        <f>0</f>
        <v>0</v>
      </c>
      <c r="B1021" s="3">
        <f>1</f>
        <v>1</v>
      </c>
      <c r="C1021" s="1">
        <f>0</f>
        <v>0</v>
      </c>
      <c r="D1021" s="1">
        <f>0</f>
        <v>0</v>
      </c>
      <c r="E1021" s="1" t="s">
        <v>366</v>
      </c>
      <c r="F1021" s="1" t="s">
        <v>1575</v>
      </c>
      <c r="G1021" s="5">
        <f>86.8333</f>
        <v>86.8333</v>
      </c>
      <c r="H1021" s="7">
        <f t="shared" si="15"/>
        <v>0.037876625387672135</v>
      </c>
    </row>
    <row r="1022" spans="1:8" ht="14.25" customHeight="1">
      <c r="A1022" s="3">
        <f>3</f>
        <v>3</v>
      </c>
      <c r="B1022" s="3">
        <f>1</f>
        <v>1</v>
      </c>
      <c r="C1022" s="1">
        <f>0</f>
        <v>0</v>
      </c>
      <c r="D1022" s="1">
        <f>0</f>
        <v>0</v>
      </c>
      <c r="E1022" s="1" t="s">
        <v>889</v>
      </c>
      <c r="F1022" s="1"/>
      <c r="G1022" s="5">
        <f>463</f>
        <v>463</v>
      </c>
      <c r="H1022" s="7">
        <f t="shared" si="15"/>
        <v>0.2019602796909964</v>
      </c>
    </row>
    <row r="1023" spans="1:8" ht="14.25" customHeight="1">
      <c r="A1023" s="3">
        <f>3</f>
        <v>3</v>
      </c>
      <c r="B1023" s="3">
        <f>1</f>
        <v>1</v>
      </c>
      <c r="C1023" s="1">
        <f>0</f>
        <v>0</v>
      </c>
      <c r="D1023" s="1">
        <f>0</f>
        <v>0</v>
      </c>
      <c r="E1023" s="1" t="s">
        <v>1556</v>
      </c>
      <c r="F1023" s="1"/>
      <c r="G1023" s="5">
        <f>423.0833</f>
        <v>423.0833</v>
      </c>
      <c r="H1023" s="7">
        <f t="shared" si="15"/>
        <v>0.18454864276585256</v>
      </c>
    </row>
    <row r="1024" spans="1:8" ht="14.25" customHeight="1">
      <c r="A1024" s="3">
        <f>0</f>
        <v>0</v>
      </c>
      <c r="B1024" s="3">
        <f>1</f>
        <v>1</v>
      </c>
      <c r="C1024" s="1">
        <f>0</f>
        <v>0</v>
      </c>
      <c r="D1024" s="1">
        <f>0</f>
        <v>0</v>
      </c>
      <c r="E1024" s="1" t="s">
        <v>1471</v>
      </c>
      <c r="F1024" s="1" t="s">
        <v>118</v>
      </c>
      <c r="G1024" s="5">
        <f>327</f>
        <v>327</v>
      </c>
      <c r="H1024" s="7">
        <f t="shared" si="15"/>
        <v>0.1426371737774424</v>
      </c>
    </row>
    <row r="1025" spans="1:8" ht="14.25" customHeight="1">
      <c r="A1025" s="3">
        <f>0</f>
        <v>0</v>
      </c>
      <c r="B1025" s="3">
        <f>1</f>
        <v>1</v>
      </c>
      <c r="C1025" s="1">
        <f>0</f>
        <v>0</v>
      </c>
      <c r="D1025" s="1">
        <f>0</f>
        <v>0</v>
      </c>
      <c r="E1025" s="1" t="s">
        <v>1557</v>
      </c>
      <c r="F1025" s="1" t="s">
        <v>1383</v>
      </c>
      <c r="G1025" s="5">
        <f>152</f>
        <v>152</v>
      </c>
      <c r="H1025" s="7">
        <f t="shared" si="15"/>
        <v>0.06630229484456038</v>
      </c>
    </row>
    <row r="1026" spans="1:8" ht="14.25" customHeight="1">
      <c r="A1026" s="3">
        <f>3</f>
        <v>3</v>
      </c>
      <c r="B1026" s="3">
        <f>1</f>
        <v>1</v>
      </c>
      <c r="C1026" s="1">
        <f>0</f>
        <v>0</v>
      </c>
      <c r="D1026" s="1">
        <f>0</f>
        <v>0</v>
      </c>
      <c r="E1026" s="1" t="s">
        <v>83</v>
      </c>
      <c r="F1026" s="1"/>
      <c r="G1026" s="5">
        <f>27.5833</f>
        <v>27.5833</v>
      </c>
      <c r="H1026" s="7">
        <f aca="true" t="shared" si="16" ref="H1026:H1089">SUM(100/229253*G$1:G$65536)</f>
        <v>0.012031816377539225</v>
      </c>
    </row>
    <row r="1027" spans="1:8" ht="14.25" customHeight="1">
      <c r="A1027" s="3">
        <f>3</f>
        <v>3</v>
      </c>
      <c r="B1027" s="3">
        <f>1</f>
        <v>1</v>
      </c>
      <c r="C1027" s="1">
        <f>0</f>
        <v>0</v>
      </c>
      <c r="D1027" s="1">
        <f>0</f>
        <v>0</v>
      </c>
      <c r="E1027" s="1" t="s">
        <v>105</v>
      </c>
      <c r="F1027" s="1"/>
      <c r="G1027" s="5">
        <f>101.6667</f>
        <v>101.6667</v>
      </c>
      <c r="H1027" s="7">
        <f t="shared" si="16"/>
        <v>0.04434694420574649</v>
      </c>
    </row>
    <row r="1028" spans="1:8" ht="14.25" customHeight="1">
      <c r="A1028" s="3">
        <f>3</f>
        <v>3</v>
      </c>
      <c r="B1028" s="3">
        <f>1</f>
        <v>1</v>
      </c>
      <c r="C1028" s="1">
        <f>0</f>
        <v>0</v>
      </c>
      <c r="D1028" s="1">
        <f>0</f>
        <v>0</v>
      </c>
      <c r="E1028" s="1" t="s">
        <v>520</v>
      </c>
      <c r="F1028" s="1"/>
      <c r="G1028" s="5">
        <f>12.1333</f>
        <v>12.1333</v>
      </c>
      <c r="H1028" s="7">
        <f t="shared" si="16"/>
        <v>0.005292537066036213</v>
      </c>
    </row>
    <row r="1029" spans="1:8" ht="14.25" customHeight="1">
      <c r="A1029" s="3">
        <f>3</f>
        <v>3</v>
      </c>
      <c r="B1029" s="3">
        <f>1</f>
        <v>1</v>
      </c>
      <c r="C1029" s="1">
        <f>0</f>
        <v>0</v>
      </c>
      <c r="D1029" s="1">
        <f>0</f>
        <v>0</v>
      </c>
      <c r="E1029" s="1" t="s">
        <v>203</v>
      </c>
      <c r="F1029" s="1"/>
      <c r="G1029" s="5">
        <f>57.8486</f>
        <v>57.8486</v>
      </c>
      <c r="H1029" s="7">
        <f t="shared" si="16"/>
        <v>0.02523351929963839</v>
      </c>
    </row>
    <row r="1030" spans="1:8" ht="14.25" customHeight="1">
      <c r="A1030" s="3">
        <f>0</f>
        <v>0</v>
      </c>
      <c r="B1030" s="3">
        <f>1</f>
        <v>1</v>
      </c>
      <c r="C1030" s="1">
        <f>0</f>
        <v>0</v>
      </c>
      <c r="D1030" s="1">
        <f>0</f>
        <v>0</v>
      </c>
      <c r="E1030" s="1" t="s">
        <v>514</v>
      </c>
      <c r="F1030" s="1" t="s">
        <v>374</v>
      </c>
      <c r="G1030" s="5">
        <f>552.8722</f>
        <v>552.8722</v>
      </c>
      <c r="H1030" s="7">
        <f t="shared" si="16"/>
        <v>0.24116247115632075</v>
      </c>
    </row>
    <row r="1031" spans="1:8" ht="14.25" customHeight="1">
      <c r="A1031" s="3">
        <f>3</f>
        <v>3</v>
      </c>
      <c r="B1031" s="3">
        <f>1</f>
        <v>1</v>
      </c>
      <c r="C1031" s="1">
        <f>0</f>
        <v>0</v>
      </c>
      <c r="D1031" s="1">
        <f>0</f>
        <v>0</v>
      </c>
      <c r="E1031" s="1" t="s">
        <v>14</v>
      </c>
      <c r="F1031" s="1"/>
      <c r="G1031" s="5">
        <f>185.25</f>
        <v>185.25</v>
      </c>
      <c r="H1031" s="7">
        <f t="shared" si="16"/>
        <v>0.08080592184180796</v>
      </c>
    </row>
    <row r="1032" spans="1:8" ht="14.25" customHeight="1">
      <c r="A1032" s="3">
        <f>3</f>
        <v>3</v>
      </c>
      <c r="B1032" s="3">
        <f>1</f>
        <v>1</v>
      </c>
      <c r="C1032" s="1">
        <f>0</f>
        <v>0</v>
      </c>
      <c r="D1032" s="1">
        <f>0</f>
        <v>0</v>
      </c>
      <c r="E1032" s="1" t="s">
        <v>312</v>
      </c>
      <c r="F1032" s="1"/>
      <c r="G1032" s="5">
        <f>27.6125</f>
        <v>27.6125</v>
      </c>
      <c r="H1032" s="7">
        <f t="shared" si="16"/>
        <v>0.012044553397338311</v>
      </c>
    </row>
    <row r="1033" spans="1:8" ht="14.25" customHeight="1">
      <c r="A1033" s="3">
        <f>1</f>
        <v>1</v>
      </c>
      <c r="B1033" s="3">
        <f>2</f>
        <v>2</v>
      </c>
      <c r="C1033" s="1">
        <f>0</f>
        <v>0</v>
      </c>
      <c r="D1033" s="1">
        <f>0</f>
        <v>0</v>
      </c>
      <c r="E1033" s="1" t="s">
        <v>1074</v>
      </c>
      <c r="F1033" s="1" t="s">
        <v>1009</v>
      </c>
      <c r="G1033" s="5">
        <f>2727.5351</f>
        <v>2727.5351</v>
      </c>
      <c r="H1033" s="7">
        <f t="shared" si="16"/>
        <v>1.189748923678207</v>
      </c>
    </row>
    <row r="1034" spans="1:8" ht="14.25" customHeight="1">
      <c r="A1034" s="3">
        <f>3</f>
        <v>3</v>
      </c>
      <c r="B1034" s="3">
        <f>1</f>
        <v>1</v>
      </c>
      <c r="C1034" s="1">
        <f>0</f>
        <v>0</v>
      </c>
      <c r="D1034" s="1">
        <f>0</f>
        <v>0</v>
      </c>
      <c r="E1034" s="1" t="s">
        <v>52</v>
      </c>
      <c r="F1034" s="1"/>
      <c r="G1034" s="5">
        <f>9.2847</f>
        <v>9.2847</v>
      </c>
      <c r="H1034" s="7">
        <f t="shared" si="16"/>
        <v>0.00404997971673217</v>
      </c>
    </row>
    <row r="1035" spans="1:8" ht="14.25" customHeight="1">
      <c r="A1035" s="3">
        <f>3</f>
        <v>3</v>
      </c>
      <c r="B1035" s="3">
        <f>1</f>
        <v>1</v>
      </c>
      <c r="C1035" s="1">
        <f>0</f>
        <v>0</v>
      </c>
      <c r="D1035" s="1">
        <f>0</f>
        <v>0</v>
      </c>
      <c r="E1035" s="1" t="s">
        <v>1339</v>
      </c>
      <c r="F1035" s="1"/>
      <c r="G1035" s="5">
        <f>18.2062</f>
        <v>18.2062</v>
      </c>
      <c r="H1035" s="7">
        <f t="shared" si="16"/>
        <v>0.007941531844730494</v>
      </c>
    </row>
    <row r="1036" spans="1:8" ht="14.25" customHeight="1">
      <c r="A1036" s="3">
        <f>3</f>
        <v>3</v>
      </c>
      <c r="B1036" s="3">
        <f>1</f>
        <v>1</v>
      </c>
      <c r="C1036" s="1">
        <f>0</f>
        <v>0</v>
      </c>
      <c r="D1036" s="1">
        <f>0</f>
        <v>0</v>
      </c>
      <c r="E1036" s="1" t="s">
        <v>1052</v>
      </c>
      <c r="F1036" s="1"/>
      <c r="G1036" s="5">
        <f>53.1944</f>
        <v>53.1944</v>
      </c>
      <c r="H1036" s="7">
        <f t="shared" si="16"/>
        <v>0.02320336047947028</v>
      </c>
    </row>
    <row r="1037" spans="1:8" ht="14.25" customHeight="1">
      <c r="A1037" s="3">
        <f>3</f>
        <v>3</v>
      </c>
      <c r="B1037" s="3">
        <f>1</f>
        <v>1</v>
      </c>
      <c r="C1037" s="1">
        <f>0</f>
        <v>0</v>
      </c>
      <c r="D1037" s="1">
        <f>0</f>
        <v>0</v>
      </c>
      <c r="E1037" s="1" t="s">
        <v>1316</v>
      </c>
      <c r="F1037" s="1"/>
      <c r="G1037" s="5">
        <f>10.4821</f>
        <v>10.4821</v>
      </c>
      <c r="H1037" s="7">
        <f t="shared" si="16"/>
        <v>0.004572284768356358</v>
      </c>
    </row>
    <row r="1038" spans="1:8" ht="14.25" customHeight="1">
      <c r="A1038" s="3">
        <f>3</f>
        <v>3</v>
      </c>
      <c r="B1038" s="3">
        <f>1</f>
        <v>1</v>
      </c>
      <c r="C1038" s="1">
        <f>0</f>
        <v>0</v>
      </c>
      <c r="D1038" s="1">
        <f>0</f>
        <v>0</v>
      </c>
      <c r="E1038" s="1" t="s">
        <v>1281</v>
      </c>
      <c r="F1038" s="1"/>
      <c r="G1038" s="5">
        <f>10.1357</f>
        <v>10.1357</v>
      </c>
      <c r="H1038" s="7">
        <f t="shared" si="16"/>
        <v>0.00442118532800007</v>
      </c>
    </row>
    <row r="1039" spans="1:8" ht="14.25" customHeight="1">
      <c r="A1039" s="3">
        <f>3</f>
        <v>3</v>
      </c>
      <c r="B1039" s="3">
        <f>1</f>
        <v>1</v>
      </c>
      <c r="C1039" s="1">
        <f>0</f>
        <v>0</v>
      </c>
      <c r="D1039" s="1">
        <f>0</f>
        <v>0</v>
      </c>
      <c r="E1039" s="1" t="s">
        <v>948</v>
      </c>
      <c r="F1039" s="1"/>
      <c r="G1039" s="5">
        <f>251.4167</f>
        <v>251.4167</v>
      </c>
      <c r="H1039" s="7">
        <f t="shared" si="16"/>
        <v>0.10966779060688409</v>
      </c>
    </row>
    <row r="1040" spans="1:8" ht="14.25" customHeight="1">
      <c r="A1040" s="3">
        <f>3</f>
        <v>3</v>
      </c>
      <c r="B1040" s="3">
        <f>1</f>
        <v>1</v>
      </c>
      <c r="C1040" s="1">
        <f>0</f>
        <v>0</v>
      </c>
      <c r="D1040" s="1">
        <f>0</f>
        <v>0</v>
      </c>
      <c r="E1040" s="1" t="s">
        <v>948</v>
      </c>
      <c r="F1040" s="1"/>
      <c r="G1040" s="5">
        <f>22.625</f>
        <v>22.625</v>
      </c>
      <c r="H1040" s="7">
        <f t="shared" si="16"/>
        <v>0.009869009347751175</v>
      </c>
    </row>
    <row r="1041" spans="1:8" ht="14.25" customHeight="1">
      <c r="A1041" s="3">
        <f>3</f>
        <v>3</v>
      </c>
      <c r="B1041" s="3">
        <f>1</f>
        <v>1</v>
      </c>
      <c r="C1041" s="1">
        <f>0</f>
        <v>0</v>
      </c>
      <c r="D1041" s="1">
        <f>0</f>
        <v>0</v>
      </c>
      <c r="E1041" s="1" t="s">
        <v>179</v>
      </c>
      <c r="F1041" s="1"/>
      <c r="G1041" s="5">
        <f>276.8062</f>
        <v>276.8062</v>
      </c>
      <c r="H1041" s="7">
        <f t="shared" si="16"/>
        <v>0.12074267294212071</v>
      </c>
    </row>
    <row r="1042" spans="1:8" ht="14.25" customHeight="1">
      <c r="A1042" s="3">
        <f>3</f>
        <v>3</v>
      </c>
      <c r="B1042" s="3">
        <f>1</f>
        <v>1</v>
      </c>
      <c r="C1042" s="1">
        <f>0</f>
        <v>0</v>
      </c>
      <c r="D1042" s="1">
        <f>0</f>
        <v>0</v>
      </c>
      <c r="E1042" s="1" t="s">
        <v>1053</v>
      </c>
      <c r="F1042" s="1"/>
      <c r="G1042" s="5">
        <f>177</f>
        <v>177</v>
      </c>
      <c r="H1042" s="7">
        <f t="shared" si="16"/>
        <v>0.07720727754925781</v>
      </c>
    </row>
    <row r="1043" spans="1:8" ht="14.25" customHeight="1">
      <c r="A1043" s="3">
        <f>3</f>
        <v>3</v>
      </c>
      <c r="B1043" s="3">
        <f>1</f>
        <v>1</v>
      </c>
      <c r="C1043" s="1">
        <f>0</f>
        <v>0</v>
      </c>
      <c r="D1043" s="1">
        <f>0</f>
        <v>0</v>
      </c>
      <c r="E1043" s="1" t="s">
        <v>1054</v>
      </c>
      <c r="F1043" s="1"/>
      <c r="G1043" s="5">
        <f>11.7607</f>
        <v>11.7607</v>
      </c>
      <c r="H1043" s="7">
        <f t="shared" si="16"/>
        <v>0.005130009203805403</v>
      </c>
    </row>
    <row r="1044" spans="1:8" ht="14.25" customHeight="1">
      <c r="A1044" s="3">
        <f>3</f>
        <v>3</v>
      </c>
      <c r="B1044" s="3">
        <f>1</f>
        <v>1</v>
      </c>
      <c r="C1044" s="1">
        <f>0</f>
        <v>0</v>
      </c>
      <c r="D1044" s="1">
        <f>0</f>
        <v>0</v>
      </c>
      <c r="E1044" s="1" t="s">
        <v>15</v>
      </c>
      <c r="F1044" s="1"/>
      <c r="G1044" s="5">
        <f>94.5</f>
        <v>94.5</v>
      </c>
      <c r="H1044" s="7">
        <f t="shared" si="16"/>
        <v>0.04122083462375629</v>
      </c>
    </row>
    <row r="1045" spans="1:8" ht="14.25" customHeight="1">
      <c r="A1045" s="3">
        <f>3</f>
        <v>3</v>
      </c>
      <c r="B1045" s="3">
        <f>1</f>
        <v>1</v>
      </c>
      <c r="C1045" s="1">
        <f>0</f>
        <v>0</v>
      </c>
      <c r="D1045" s="1">
        <f>0</f>
        <v>0</v>
      </c>
      <c r="E1045" s="1" t="s">
        <v>1558</v>
      </c>
      <c r="F1045" s="1"/>
      <c r="G1045" s="5">
        <f>67.9286</f>
        <v>67.9286</v>
      </c>
      <c r="H1045" s="7">
        <f t="shared" si="16"/>
        <v>0.029630408326172395</v>
      </c>
    </row>
    <row r="1046" spans="1:8" ht="14.25" customHeight="1">
      <c r="A1046" s="3">
        <f>3</f>
        <v>3</v>
      </c>
      <c r="B1046" s="3">
        <f>1</f>
        <v>1</v>
      </c>
      <c r="C1046" s="1">
        <f>0</f>
        <v>0</v>
      </c>
      <c r="D1046" s="1">
        <f>0</f>
        <v>0</v>
      </c>
      <c r="E1046" s="1" t="s">
        <v>1201</v>
      </c>
      <c r="F1046" s="1"/>
      <c r="G1046" s="5">
        <f>67.5</f>
        <v>67.5</v>
      </c>
      <c r="H1046" s="7">
        <f t="shared" si="16"/>
        <v>0.02944345330268306</v>
      </c>
    </row>
    <row r="1047" spans="1:8" ht="14.25" customHeight="1">
      <c r="A1047" s="3">
        <f>0</f>
        <v>0</v>
      </c>
      <c r="B1047" s="3">
        <f>1</f>
        <v>1</v>
      </c>
      <c r="C1047" s="1">
        <f>0</f>
        <v>0</v>
      </c>
      <c r="D1047" s="1">
        <f>0</f>
        <v>0</v>
      </c>
      <c r="E1047" s="1" t="s">
        <v>284</v>
      </c>
      <c r="F1047" s="1" t="s">
        <v>117</v>
      </c>
      <c r="G1047" s="5">
        <f>208.9375</f>
        <v>208.9375</v>
      </c>
      <c r="H1047" s="7">
        <f t="shared" si="16"/>
        <v>0.09113839295450878</v>
      </c>
    </row>
    <row r="1048" spans="1:8" ht="14.25" customHeight="1">
      <c r="A1048" s="3">
        <f>3</f>
        <v>3</v>
      </c>
      <c r="B1048" s="3">
        <f>1</f>
        <v>1</v>
      </c>
      <c r="C1048" s="1">
        <f>0</f>
        <v>0</v>
      </c>
      <c r="D1048" s="1">
        <f>0</f>
        <v>0</v>
      </c>
      <c r="E1048" s="1" t="s">
        <v>230</v>
      </c>
      <c r="F1048" s="1"/>
      <c r="G1048" s="5">
        <f>72.8</f>
        <v>72.8</v>
      </c>
      <c r="H1048" s="7">
        <f t="shared" si="16"/>
        <v>0.031755309636078914</v>
      </c>
    </row>
    <row r="1049" spans="1:8" ht="14.25" customHeight="1">
      <c r="A1049" s="3">
        <f>3</f>
        <v>3</v>
      </c>
      <c r="B1049" s="3">
        <f>1</f>
        <v>1</v>
      </c>
      <c r="C1049" s="1">
        <f>0</f>
        <v>0</v>
      </c>
      <c r="D1049" s="1">
        <f>0</f>
        <v>0</v>
      </c>
      <c r="E1049" s="1" t="s">
        <v>1370</v>
      </c>
      <c r="F1049" s="1"/>
      <c r="G1049" s="5">
        <f>18.2062</f>
        <v>18.2062</v>
      </c>
      <c r="H1049" s="7">
        <f t="shared" si="16"/>
        <v>0.007941531844730494</v>
      </c>
    </row>
    <row r="1050" spans="1:8" ht="14.25" customHeight="1">
      <c r="A1050" s="3">
        <f>3</f>
        <v>3</v>
      </c>
      <c r="B1050" s="3">
        <f>1</f>
        <v>1</v>
      </c>
      <c r="C1050" s="1">
        <f>0</f>
        <v>0</v>
      </c>
      <c r="D1050" s="1">
        <f>0</f>
        <v>0</v>
      </c>
      <c r="E1050" s="1" t="s">
        <v>1090</v>
      </c>
      <c r="F1050" s="1"/>
      <c r="G1050" s="5">
        <f>56.7472</f>
        <v>56.7472</v>
      </c>
      <c r="H1050" s="7">
        <f t="shared" si="16"/>
        <v>0.02475308938160024</v>
      </c>
    </row>
    <row r="1051" spans="1:8" ht="14.25" customHeight="1">
      <c r="A1051" s="3">
        <f>3</f>
        <v>3</v>
      </c>
      <c r="B1051" s="3">
        <f>1</f>
        <v>1</v>
      </c>
      <c r="C1051" s="1">
        <f>0</f>
        <v>0</v>
      </c>
      <c r="D1051" s="1">
        <f>0</f>
        <v>0</v>
      </c>
      <c r="E1051" s="1" t="s">
        <v>1371</v>
      </c>
      <c r="F1051" s="1"/>
      <c r="G1051" s="5">
        <f>112.2298</f>
        <v>112.2298</v>
      </c>
      <c r="H1051" s="7">
        <f t="shared" si="16"/>
        <v>0.048954561118066064</v>
      </c>
    </row>
    <row r="1052" spans="1:8" ht="14.25" customHeight="1">
      <c r="A1052" s="3">
        <f>3</f>
        <v>3</v>
      </c>
      <c r="B1052" s="3">
        <f>1</f>
        <v>1</v>
      </c>
      <c r="C1052" s="1">
        <f>0</f>
        <v>0</v>
      </c>
      <c r="D1052" s="1">
        <f>0</f>
        <v>0</v>
      </c>
      <c r="E1052" s="1" t="s">
        <v>1091</v>
      </c>
      <c r="F1052" s="1"/>
      <c r="G1052" s="5">
        <f>1.1265</f>
        <v>1.1265</v>
      </c>
      <c r="H1052" s="7">
        <f t="shared" si="16"/>
        <v>0.0004913785206736662</v>
      </c>
    </row>
    <row r="1053" spans="1:8" ht="14.25" customHeight="1">
      <c r="A1053" s="3">
        <f>3</f>
        <v>3</v>
      </c>
      <c r="B1053" s="3">
        <f>1</f>
        <v>1</v>
      </c>
      <c r="C1053" s="1">
        <f>0</f>
        <v>0</v>
      </c>
      <c r="D1053" s="1">
        <f>0</f>
        <v>0</v>
      </c>
      <c r="E1053" s="1" t="s">
        <v>84</v>
      </c>
      <c r="F1053" s="1"/>
      <c r="G1053" s="5">
        <f>16.6357</f>
        <v>16.6357</v>
      </c>
      <c r="H1053" s="7">
        <f t="shared" si="16"/>
        <v>0.007256480831221402</v>
      </c>
    </row>
    <row r="1054" spans="1:8" ht="14.25" customHeight="1">
      <c r="A1054" s="3">
        <f>0</f>
        <v>0</v>
      </c>
      <c r="B1054" s="3">
        <f>1</f>
        <v>1</v>
      </c>
      <c r="C1054" s="1">
        <f>0</f>
        <v>0</v>
      </c>
      <c r="D1054" s="1">
        <f>0</f>
        <v>0</v>
      </c>
      <c r="E1054" s="1" t="s">
        <v>53</v>
      </c>
      <c r="F1054" s="1" t="s">
        <v>29</v>
      </c>
      <c r="G1054" s="5">
        <f>9.2847</f>
        <v>9.2847</v>
      </c>
      <c r="H1054" s="7">
        <f t="shared" si="16"/>
        <v>0.00404997971673217</v>
      </c>
    </row>
    <row r="1055" spans="1:8" ht="14.25" customHeight="1">
      <c r="A1055" s="3">
        <f>3</f>
        <v>3</v>
      </c>
      <c r="B1055" s="3">
        <f>1</f>
        <v>1</v>
      </c>
      <c r="C1055" s="1">
        <f>0</f>
        <v>0</v>
      </c>
      <c r="D1055" s="1">
        <f>0</f>
        <v>0</v>
      </c>
      <c r="E1055" s="1" t="s">
        <v>1429</v>
      </c>
      <c r="F1055" s="1"/>
      <c r="G1055" s="5">
        <f>20.8268</f>
        <v>20.8268</v>
      </c>
      <c r="H1055" s="7">
        <f t="shared" si="16"/>
        <v>0.009084635751767697</v>
      </c>
    </row>
    <row r="1056" spans="1:8" ht="14.25" customHeight="1">
      <c r="A1056" s="3">
        <f>3</f>
        <v>3</v>
      </c>
      <c r="B1056" s="3">
        <f>1</f>
        <v>1</v>
      </c>
      <c r="C1056" s="1">
        <f>0</f>
        <v>0</v>
      </c>
      <c r="D1056" s="1">
        <f>0</f>
        <v>0</v>
      </c>
      <c r="E1056" s="1" t="s">
        <v>1430</v>
      </c>
      <c r="F1056" s="1"/>
      <c r="G1056" s="5">
        <f>2.5339</f>
        <v>2.5339</v>
      </c>
      <c r="H1056" s="7">
        <f t="shared" si="16"/>
        <v>0.0011052854270173127</v>
      </c>
    </row>
    <row r="1057" spans="1:8" ht="14.25" customHeight="1">
      <c r="A1057" s="3">
        <f>3</f>
        <v>3</v>
      </c>
      <c r="B1057" s="3">
        <f>1</f>
        <v>1</v>
      </c>
      <c r="C1057" s="1">
        <f>0</f>
        <v>0</v>
      </c>
      <c r="D1057" s="1">
        <f>0</f>
        <v>0</v>
      </c>
      <c r="E1057" s="1" t="s">
        <v>1317</v>
      </c>
      <c r="F1057" s="1"/>
      <c r="G1057" s="5">
        <f>85.7062</f>
        <v>85.7062</v>
      </c>
      <c r="H1057" s="7">
        <f t="shared" si="16"/>
        <v>0.037384985147413556</v>
      </c>
    </row>
    <row r="1058" spans="1:8" ht="14.25" customHeight="1">
      <c r="A1058" s="3">
        <f>3</f>
        <v>3</v>
      </c>
      <c r="B1058" s="3">
        <f>1</f>
        <v>1</v>
      </c>
      <c r="C1058" s="1">
        <f>0</f>
        <v>0</v>
      </c>
      <c r="D1058" s="1">
        <f>0</f>
        <v>0</v>
      </c>
      <c r="E1058" s="1" t="s">
        <v>505</v>
      </c>
      <c r="F1058" s="1"/>
      <c r="G1058" s="5">
        <f>37.3438</f>
        <v>37.3438</v>
      </c>
      <c r="H1058" s="7">
        <f t="shared" si="16"/>
        <v>0.016289339725107196</v>
      </c>
    </row>
    <row r="1059" spans="1:8" ht="14.25" customHeight="1">
      <c r="A1059" s="3">
        <f>3</f>
        <v>3</v>
      </c>
      <c r="B1059" s="3">
        <f>1</f>
        <v>1</v>
      </c>
      <c r="C1059" s="1">
        <f>0</f>
        <v>0</v>
      </c>
      <c r="D1059" s="1">
        <f>0</f>
        <v>0</v>
      </c>
      <c r="E1059" s="1" t="s">
        <v>1055</v>
      </c>
      <c r="F1059" s="1"/>
      <c r="G1059" s="5">
        <f>4.2455</f>
        <v>4.2455</v>
      </c>
      <c r="H1059" s="7">
        <f t="shared" si="16"/>
        <v>0.0018518841629117176</v>
      </c>
    </row>
    <row r="1060" spans="1:8" ht="14.25" customHeight="1">
      <c r="A1060" s="3">
        <f>3</f>
        <v>3</v>
      </c>
      <c r="B1060" s="3">
        <f>1</f>
        <v>1</v>
      </c>
      <c r="C1060" s="1">
        <f>0</f>
        <v>0</v>
      </c>
      <c r="D1060" s="1">
        <f>0</f>
        <v>0</v>
      </c>
      <c r="E1060" s="1" t="s">
        <v>1318</v>
      </c>
      <c r="F1060" s="1"/>
      <c r="G1060" s="5">
        <f>41.9286</f>
        <v>41.9286</v>
      </c>
      <c r="H1060" s="7">
        <f t="shared" si="16"/>
        <v>0.01828922631328707</v>
      </c>
    </row>
    <row r="1061" spans="1:8" ht="14.25" customHeight="1">
      <c r="A1061" s="3">
        <f>3</f>
        <v>3</v>
      </c>
      <c r="B1061" s="3">
        <f>1</f>
        <v>1</v>
      </c>
      <c r="C1061" s="1">
        <f>0</f>
        <v>0</v>
      </c>
      <c r="D1061" s="1">
        <f>0</f>
        <v>0</v>
      </c>
      <c r="E1061" s="1" t="s">
        <v>180</v>
      </c>
      <c r="F1061" s="1"/>
      <c r="G1061" s="5">
        <f>17.8</f>
        <v>17.8</v>
      </c>
      <c r="H1061" s="7">
        <f t="shared" si="16"/>
        <v>0.00776434768574457</v>
      </c>
    </row>
    <row r="1062" spans="1:8" ht="14.25" customHeight="1">
      <c r="A1062" s="3">
        <f>3</f>
        <v>3</v>
      </c>
      <c r="B1062" s="3">
        <f>1</f>
        <v>1</v>
      </c>
      <c r="C1062" s="1">
        <f>0</f>
        <v>0</v>
      </c>
      <c r="D1062" s="1">
        <f>0</f>
        <v>0</v>
      </c>
      <c r="E1062" s="1" t="s">
        <v>1056</v>
      </c>
      <c r="F1062" s="1"/>
      <c r="G1062" s="5">
        <f>67.5</f>
        <v>67.5</v>
      </c>
      <c r="H1062" s="7">
        <f t="shared" si="16"/>
        <v>0.02944345330268306</v>
      </c>
    </row>
    <row r="1063" spans="1:8" ht="14.25" customHeight="1">
      <c r="A1063" s="3">
        <f>3</f>
        <v>3</v>
      </c>
      <c r="B1063" s="3">
        <f>1</f>
        <v>1</v>
      </c>
      <c r="C1063" s="1">
        <f>0</f>
        <v>0</v>
      </c>
      <c r="D1063" s="1">
        <f>0</f>
        <v>0</v>
      </c>
      <c r="E1063" s="1" t="s">
        <v>16</v>
      </c>
      <c r="F1063" s="1"/>
      <c r="G1063" s="5">
        <f>202.875</f>
        <v>202.875</v>
      </c>
      <c r="H1063" s="7">
        <f t="shared" si="16"/>
        <v>0.08849393464861964</v>
      </c>
    </row>
    <row r="1064" spans="1:8" ht="14.25" customHeight="1">
      <c r="A1064" s="3">
        <f>3</f>
        <v>3</v>
      </c>
      <c r="B1064" s="3">
        <f>1</f>
        <v>1</v>
      </c>
      <c r="C1064" s="1">
        <f>0</f>
        <v>0</v>
      </c>
      <c r="D1064" s="1">
        <f>0</f>
        <v>0</v>
      </c>
      <c r="E1064" s="1" t="s">
        <v>1519</v>
      </c>
      <c r="F1064" s="1"/>
      <c r="G1064" s="5">
        <f>18.2062</f>
        <v>18.2062</v>
      </c>
      <c r="H1064" s="7">
        <f t="shared" si="16"/>
        <v>0.007941531844730494</v>
      </c>
    </row>
    <row r="1065" spans="1:8" ht="14.25" customHeight="1">
      <c r="A1065" s="3">
        <f>3</f>
        <v>3</v>
      </c>
      <c r="B1065" s="3">
        <f>1</f>
        <v>1</v>
      </c>
      <c r="C1065" s="1">
        <f>0</f>
        <v>0</v>
      </c>
      <c r="D1065" s="1">
        <f>0</f>
        <v>0</v>
      </c>
      <c r="E1065" s="1" t="s">
        <v>1559</v>
      </c>
      <c r="F1065" s="1"/>
      <c r="G1065" s="5">
        <f>92.2687</f>
        <v>92.2687</v>
      </c>
      <c r="H1065" s="7">
        <f t="shared" si="16"/>
        <v>0.04024754310739663</v>
      </c>
    </row>
    <row r="1066" spans="1:8" ht="14.25" customHeight="1">
      <c r="A1066" s="3">
        <f>3</f>
        <v>3</v>
      </c>
      <c r="B1066" s="3">
        <f>1</f>
        <v>1</v>
      </c>
      <c r="C1066" s="1">
        <f>0</f>
        <v>0</v>
      </c>
      <c r="D1066" s="1">
        <f>0</f>
        <v>0</v>
      </c>
      <c r="E1066" s="1" t="s">
        <v>1520</v>
      </c>
      <c r="F1066" s="1"/>
      <c r="G1066" s="5">
        <f>153.9625</f>
        <v>153.9625</v>
      </c>
      <c r="H1066" s="7">
        <f t="shared" si="16"/>
        <v>0.06715833598687912</v>
      </c>
    </row>
    <row r="1067" spans="1:8" ht="14.25" customHeight="1">
      <c r="A1067" s="3">
        <f>3</f>
        <v>3</v>
      </c>
      <c r="B1067" s="3">
        <f>1</f>
        <v>1</v>
      </c>
      <c r="C1067" s="1">
        <f>0</f>
        <v>0</v>
      </c>
      <c r="D1067" s="1">
        <f>0</f>
        <v>0</v>
      </c>
      <c r="E1067" s="1" t="s">
        <v>1202</v>
      </c>
      <c r="F1067" s="1"/>
      <c r="G1067" s="5">
        <f>2.6205</f>
        <v>2.6205</v>
      </c>
      <c r="H1067" s="7">
        <f t="shared" si="16"/>
        <v>0.0011430602871063845</v>
      </c>
    </row>
    <row r="1068" spans="1:8" ht="14.25" customHeight="1">
      <c r="A1068" s="3">
        <f>3</f>
        <v>3</v>
      </c>
      <c r="B1068" s="3">
        <f>1</f>
        <v>1</v>
      </c>
      <c r="C1068" s="1">
        <f>0</f>
        <v>0</v>
      </c>
      <c r="D1068" s="1">
        <f>0</f>
        <v>0</v>
      </c>
      <c r="E1068" s="1" t="s">
        <v>1319</v>
      </c>
      <c r="F1068" s="1"/>
      <c r="G1068" s="5">
        <f>41.9286</f>
        <v>41.9286</v>
      </c>
      <c r="H1068" s="7">
        <f t="shared" si="16"/>
        <v>0.01828922631328707</v>
      </c>
    </row>
    <row r="1069" spans="1:8" ht="14.25" customHeight="1">
      <c r="A1069" s="3">
        <f>3</f>
        <v>3</v>
      </c>
      <c r="B1069" s="3">
        <f>1</f>
        <v>1</v>
      </c>
      <c r="C1069" s="1">
        <f>0</f>
        <v>0</v>
      </c>
      <c r="D1069" s="1">
        <f>0</f>
        <v>0</v>
      </c>
      <c r="E1069" s="1" t="s">
        <v>313</v>
      </c>
      <c r="F1069" s="1"/>
      <c r="G1069" s="5">
        <f>27.6125</f>
        <v>27.6125</v>
      </c>
      <c r="H1069" s="7">
        <f t="shared" si="16"/>
        <v>0.012044553397338311</v>
      </c>
    </row>
    <row r="1070" spans="1:8" ht="14.25" customHeight="1">
      <c r="A1070" s="3">
        <f>3</f>
        <v>3</v>
      </c>
      <c r="B1070" s="3">
        <f>1</f>
        <v>1</v>
      </c>
      <c r="C1070" s="1">
        <f>0</f>
        <v>0</v>
      </c>
      <c r="D1070" s="1">
        <f>0</f>
        <v>0</v>
      </c>
      <c r="E1070" s="1" t="s">
        <v>1057</v>
      </c>
      <c r="F1070" s="1"/>
      <c r="G1070" s="5">
        <f>2.6205</f>
        <v>2.6205</v>
      </c>
      <c r="H1070" s="7">
        <f t="shared" si="16"/>
        <v>0.0011430602871063845</v>
      </c>
    </row>
    <row r="1071" spans="1:8" ht="14.25" customHeight="1">
      <c r="A1071" s="3">
        <f>3</f>
        <v>3</v>
      </c>
      <c r="B1071" s="3">
        <f>1</f>
        <v>1</v>
      </c>
      <c r="C1071" s="1">
        <f>0</f>
        <v>0</v>
      </c>
      <c r="D1071" s="1">
        <f>0</f>
        <v>0</v>
      </c>
      <c r="E1071" s="1" t="s">
        <v>949</v>
      </c>
      <c r="F1071" s="1"/>
      <c r="G1071" s="5">
        <f>0.7719</f>
        <v>0.7719</v>
      </c>
      <c r="H1071" s="7">
        <f t="shared" si="16"/>
        <v>0.00033670224599023787</v>
      </c>
    </row>
    <row r="1072" spans="1:8" ht="14.25" customHeight="1">
      <c r="A1072" s="3">
        <f>3</f>
        <v>3</v>
      </c>
      <c r="B1072" s="3">
        <f>1</f>
        <v>1</v>
      </c>
      <c r="C1072" s="1">
        <f>0</f>
        <v>0</v>
      </c>
      <c r="D1072" s="1">
        <f>0</f>
        <v>0</v>
      </c>
      <c r="E1072" s="1" t="s">
        <v>1372</v>
      </c>
      <c r="F1072" s="1"/>
      <c r="G1072" s="5">
        <f>10.1357</f>
        <v>10.1357</v>
      </c>
      <c r="H1072" s="7">
        <f t="shared" si="16"/>
        <v>0.00442118532800007</v>
      </c>
    </row>
    <row r="1073" spans="1:8" ht="14.25" customHeight="1">
      <c r="A1073" s="3">
        <f>3</f>
        <v>3</v>
      </c>
      <c r="B1073" s="3">
        <f>1</f>
        <v>1</v>
      </c>
      <c r="C1073" s="1">
        <f>0</f>
        <v>0</v>
      </c>
      <c r="D1073" s="1">
        <f>0</f>
        <v>0</v>
      </c>
      <c r="E1073" s="1" t="s">
        <v>231</v>
      </c>
      <c r="F1073" s="1"/>
      <c r="G1073" s="5">
        <f>80.6181</f>
        <v>80.6181</v>
      </c>
      <c r="H1073" s="7">
        <f t="shared" si="16"/>
        <v>0.035165559447422716</v>
      </c>
    </row>
    <row r="1074" spans="1:8" ht="14.25" customHeight="1">
      <c r="A1074" s="3">
        <f>3</f>
        <v>3</v>
      </c>
      <c r="B1074" s="3">
        <f>1</f>
        <v>1</v>
      </c>
      <c r="C1074" s="1">
        <f>0</f>
        <v>0</v>
      </c>
      <c r="D1074" s="1">
        <f>0</f>
        <v>0</v>
      </c>
      <c r="E1074" s="1" t="s">
        <v>1373</v>
      </c>
      <c r="F1074" s="1"/>
      <c r="G1074" s="5">
        <f>41.9286</f>
        <v>41.9286</v>
      </c>
      <c r="H1074" s="7">
        <f t="shared" si="16"/>
        <v>0.01828922631328707</v>
      </c>
    </row>
    <row r="1075" spans="1:8" ht="14.25" customHeight="1">
      <c r="A1075" s="3">
        <f>3</f>
        <v>3</v>
      </c>
      <c r="B1075" s="3">
        <f>1</f>
        <v>1</v>
      </c>
      <c r="C1075" s="1">
        <f>0</f>
        <v>0</v>
      </c>
      <c r="D1075" s="1">
        <f>0</f>
        <v>0</v>
      </c>
      <c r="E1075" s="1" t="s">
        <v>17</v>
      </c>
      <c r="F1075" s="1"/>
      <c r="G1075" s="5">
        <f>72.8</f>
        <v>72.8</v>
      </c>
      <c r="H1075" s="7">
        <f t="shared" si="16"/>
        <v>0.031755309636078914</v>
      </c>
    </row>
    <row r="1076" spans="1:8" ht="14.25" customHeight="1">
      <c r="A1076" s="3">
        <f>3</f>
        <v>3</v>
      </c>
      <c r="B1076" s="3">
        <f>1</f>
        <v>1</v>
      </c>
      <c r="C1076" s="1">
        <f>0</f>
        <v>0</v>
      </c>
      <c r="D1076" s="1">
        <f>0</f>
        <v>0</v>
      </c>
      <c r="E1076" s="1" t="s">
        <v>1021</v>
      </c>
      <c r="F1076" s="1"/>
      <c r="G1076" s="5">
        <f>135.6667</f>
        <v>135.6667</v>
      </c>
      <c r="H1076" s="7">
        <f t="shared" si="16"/>
        <v>0.05917772068413499</v>
      </c>
    </row>
    <row r="1077" spans="1:8" ht="14.25" customHeight="1">
      <c r="A1077" s="3">
        <f>0</f>
        <v>0</v>
      </c>
      <c r="B1077" s="3">
        <f>1</f>
        <v>1</v>
      </c>
      <c r="C1077" s="1">
        <f>0</f>
        <v>0</v>
      </c>
      <c r="D1077" s="1">
        <f>0</f>
        <v>0</v>
      </c>
      <c r="E1077" s="1" t="s">
        <v>872</v>
      </c>
      <c r="F1077" s="1" t="s">
        <v>1437</v>
      </c>
      <c r="G1077" s="5">
        <f>36.4</f>
        <v>36.4</v>
      </c>
      <c r="H1077" s="7">
        <f t="shared" si="16"/>
        <v>0.015877654818039457</v>
      </c>
    </row>
    <row r="1078" spans="1:8" ht="14.25" customHeight="1">
      <c r="A1078" s="3">
        <f>3</f>
        <v>3</v>
      </c>
      <c r="B1078" s="3">
        <f>1</f>
        <v>1</v>
      </c>
      <c r="C1078" s="1">
        <f>0</f>
        <v>0</v>
      </c>
      <c r="D1078" s="1">
        <f>0</f>
        <v>0</v>
      </c>
      <c r="E1078" s="1" t="s">
        <v>472</v>
      </c>
      <c r="F1078" s="1"/>
      <c r="G1078" s="5">
        <f>5.4444</f>
        <v>5.4444</v>
      </c>
      <c r="H1078" s="7">
        <f t="shared" si="16"/>
        <v>0.0023748435134981873</v>
      </c>
    </row>
    <row r="1079" spans="1:8" ht="14.25" customHeight="1">
      <c r="A1079" s="3">
        <f>0</f>
        <v>0</v>
      </c>
      <c r="B1079" s="3">
        <f>1</f>
        <v>1</v>
      </c>
      <c r="C1079" s="1">
        <f>0</f>
        <v>0</v>
      </c>
      <c r="D1079" s="1">
        <f>0</f>
        <v>0</v>
      </c>
      <c r="E1079" s="1" t="s">
        <v>543</v>
      </c>
      <c r="F1079" s="1" t="s">
        <v>62</v>
      </c>
      <c r="G1079" s="5">
        <f>8.8318</f>
        <v>8.8318</v>
      </c>
      <c r="H1079" s="7">
        <f t="shared" si="16"/>
        <v>0.0038524250500538704</v>
      </c>
    </row>
    <row r="1080" spans="1:8" ht="14.25" customHeight="1">
      <c r="A1080" s="3">
        <f>0</f>
        <v>0</v>
      </c>
      <c r="B1080" s="3">
        <f>1</f>
        <v>1</v>
      </c>
      <c r="C1080" s="1">
        <f>0</f>
        <v>0</v>
      </c>
      <c r="D1080" s="1">
        <f>0</f>
        <v>0</v>
      </c>
      <c r="E1080" s="1" t="s">
        <v>1327</v>
      </c>
      <c r="F1080" s="1" t="s">
        <v>68</v>
      </c>
      <c r="G1080" s="5">
        <f>576.85</f>
        <v>576.85</v>
      </c>
      <c r="H1080" s="7">
        <f t="shared" si="16"/>
        <v>0.2516215709281885</v>
      </c>
    </row>
    <row r="1081" spans="1:8" ht="14.25" customHeight="1">
      <c r="A1081" s="3">
        <f>0</f>
        <v>0</v>
      </c>
      <c r="B1081" s="3">
        <f>1</f>
        <v>1</v>
      </c>
      <c r="C1081" s="1">
        <f>0</f>
        <v>0</v>
      </c>
      <c r="D1081" s="1">
        <f>0</f>
        <v>0</v>
      </c>
      <c r="E1081" s="1" t="s">
        <v>1258</v>
      </c>
      <c r="F1081" s="1" t="s">
        <v>271</v>
      </c>
      <c r="G1081" s="5">
        <f>170.7188</f>
        <v>170.7188</v>
      </c>
      <c r="H1081" s="7">
        <f t="shared" si="16"/>
        <v>0.07446742245466798</v>
      </c>
    </row>
    <row r="1082" spans="1:8" ht="14.25" customHeight="1">
      <c r="A1082" s="3">
        <f>0</f>
        <v>0</v>
      </c>
      <c r="B1082" s="3">
        <f>1</f>
        <v>1</v>
      </c>
      <c r="C1082" s="1">
        <f>0</f>
        <v>0</v>
      </c>
      <c r="D1082" s="1">
        <f>0</f>
        <v>0</v>
      </c>
      <c r="E1082" s="1" t="s">
        <v>801</v>
      </c>
      <c r="F1082" s="1" t="s">
        <v>1350</v>
      </c>
      <c r="G1082" s="5">
        <f>305.1667</f>
        <v>305.1667</v>
      </c>
      <c r="H1082" s="7">
        <f t="shared" si="16"/>
        <v>0.13311350342198355</v>
      </c>
    </row>
    <row r="1083" spans="1:8" ht="14.25" customHeight="1">
      <c r="A1083" s="3">
        <f>0</f>
        <v>0</v>
      </c>
      <c r="B1083" s="3">
        <f>1</f>
        <v>1</v>
      </c>
      <c r="C1083" s="1">
        <f>0</f>
        <v>0</v>
      </c>
      <c r="D1083" s="1">
        <f>0</f>
        <v>0</v>
      </c>
      <c r="E1083" s="1" t="s">
        <v>1178</v>
      </c>
      <c r="F1083" s="1" t="s">
        <v>271</v>
      </c>
      <c r="G1083" s="5">
        <f>305.1667</f>
        <v>305.1667</v>
      </c>
      <c r="H1083" s="7">
        <f t="shared" si="16"/>
        <v>0.13311350342198355</v>
      </c>
    </row>
    <row r="1084" spans="1:8" ht="14.25" customHeight="1">
      <c r="A1084" s="3">
        <f>0</f>
        <v>0</v>
      </c>
      <c r="B1084" s="3">
        <f>1</f>
        <v>1</v>
      </c>
      <c r="C1084" s="1">
        <f>0</f>
        <v>0</v>
      </c>
      <c r="D1084" s="1">
        <f>0</f>
        <v>0</v>
      </c>
      <c r="E1084" s="1" t="s">
        <v>483</v>
      </c>
      <c r="F1084" s="1" t="s">
        <v>239</v>
      </c>
      <c r="G1084" s="5">
        <f>100.2188</f>
        <v>100.2188</v>
      </c>
      <c r="H1084" s="7">
        <f t="shared" si="16"/>
        <v>0.04371537122742123</v>
      </c>
    </row>
    <row r="1085" spans="1:8" ht="14.25" customHeight="1">
      <c r="A1085" s="3">
        <f>0</f>
        <v>0</v>
      </c>
      <c r="B1085" s="3">
        <f>1</f>
        <v>1</v>
      </c>
      <c r="C1085" s="1">
        <f>0</f>
        <v>0</v>
      </c>
      <c r="D1085" s="1">
        <f>0</f>
        <v>0</v>
      </c>
      <c r="E1085" s="1" t="s">
        <v>233</v>
      </c>
      <c r="F1085" s="1" t="s">
        <v>1182</v>
      </c>
      <c r="G1085" s="5">
        <f>19.7176</f>
        <v>19.7176</v>
      </c>
      <c r="H1085" s="7">
        <f t="shared" si="16"/>
        <v>0.008600803479125682</v>
      </c>
    </row>
    <row r="1086" spans="1:8" ht="14.25" customHeight="1">
      <c r="A1086" s="3">
        <f>0</f>
        <v>0</v>
      </c>
      <c r="B1086" s="3">
        <f>1</f>
        <v>1</v>
      </c>
      <c r="C1086" s="1">
        <f>0</f>
        <v>0</v>
      </c>
      <c r="D1086" s="1">
        <f>0</f>
        <v>0</v>
      </c>
      <c r="E1086" s="1" t="s">
        <v>314</v>
      </c>
      <c r="F1086" s="1" t="s">
        <v>114</v>
      </c>
      <c r="G1086" s="5">
        <f>116.5</f>
        <v>116.5</v>
      </c>
      <c r="H1086" s="7">
        <f t="shared" si="16"/>
        <v>0.05081721940389002</v>
      </c>
    </row>
    <row r="1087" spans="1:8" ht="14.25" customHeight="1">
      <c r="A1087" s="3">
        <f>3</f>
        <v>3</v>
      </c>
      <c r="B1087" s="3">
        <f>1</f>
        <v>1</v>
      </c>
      <c r="C1087" s="1">
        <f>0</f>
        <v>0</v>
      </c>
      <c r="D1087" s="1">
        <f>0</f>
        <v>0</v>
      </c>
      <c r="E1087" s="1" t="s">
        <v>494</v>
      </c>
      <c r="F1087" s="1"/>
      <c r="G1087" s="5">
        <f>2.5833</f>
        <v>2.5833</v>
      </c>
      <c r="H1087" s="7">
        <f t="shared" si="16"/>
        <v>0.001126833672841795</v>
      </c>
    </row>
    <row r="1088" spans="1:8" ht="14.25" customHeight="1">
      <c r="A1088" s="3">
        <f>0</f>
        <v>0</v>
      </c>
      <c r="B1088" s="3">
        <f>1</f>
        <v>1</v>
      </c>
      <c r="C1088" s="1">
        <f>0</f>
        <v>0</v>
      </c>
      <c r="D1088" s="1">
        <f>0</f>
        <v>0</v>
      </c>
      <c r="E1088" s="1" t="s">
        <v>130</v>
      </c>
      <c r="F1088" s="1" t="s">
        <v>1578</v>
      </c>
      <c r="G1088" s="5">
        <f>22.8054</f>
        <v>22.8054</v>
      </c>
      <c r="H1088" s="7">
        <f t="shared" si="16"/>
        <v>0.00994769970294827</v>
      </c>
    </row>
    <row r="1089" spans="1:8" ht="14.25" customHeight="1">
      <c r="A1089" s="3">
        <f>0</f>
        <v>0</v>
      </c>
      <c r="B1089" s="3">
        <f>1</f>
        <v>1</v>
      </c>
      <c r="C1089" s="1">
        <f>0</f>
        <v>0</v>
      </c>
      <c r="D1089" s="1">
        <f>0</f>
        <v>0</v>
      </c>
      <c r="E1089" s="1" t="s">
        <v>85</v>
      </c>
      <c r="F1089" s="1" t="s">
        <v>1435</v>
      </c>
      <c r="G1089" s="5">
        <f>22.8054</f>
        <v>22.8054</v>
      </c>
      <c r="H1089" s="7">
        <f t="shared" si="16"/>
        <v>0.00994769970294827</v>
      </c>
    </row>
    <row r="1090" spans="1:8" ht="14.25" customHeight="1">
      <c r="A1090" s="3">
        <f>3</f>
        <v>3</v>
      </c>
      <c r="B1090" s="3">
        <f>1</f>
        <v>1</v>
      </c>
      <c r="C1090" s="1">
        <f>0</f>
        <v>0</v>
      </c>
      <c r="D1090" s="1">
        <f>0</f>
        <v>0</v>
      </c>
      <c r="E1090" s="1" t="s">
        <v>20</v>
      </c>
      <c r="F1090" s="1"/>
      <c r="G1090" s="5">
        <f>55.7778</f>
        <v>55.7778</v>
      </c>
      <c r="H1090" s="7">
        <f aca="true" t="shared" si="17" ref="H1090:H1153">SUM(100/229253*G$1:G$65536)</f>
        <v>0.024330237772242892</v>
      </c>
    </row>
    <row r="1091" spans="1:8" ht="14.25" customHeight="1">
      <c r="A1091" s="3">
        <f>3</f>
        <v>3</v>
      </c>
      <c r="B1091" s="3">
        <f>1</f>
        <v>1</v>
      </c>
      <c r="C1091" s="1">
        <f>0</f>
        <v>0</v>
      </c>
      <c r="D1091" s="1">
        <f>0</f>
        <v>0</v>
      </c>
      <c r="E1091" s="1" t="s">
        <v>950</v>
      </c>
      <c r="F1091" s="1"/>
      <c r="G1091" s="5">
        <f>20.787</f>
        <v>20.787</v>
      </c>
      <c r="H1091" s="7">
        <f t="shared" si="17"/>
        <v>0.009067275019301818</v>
      </c>
    </row>
    <row r="1092" spans="1:8" ht="14.25" customHeight="1">
      <c r="A1092" s="3">
        <f>3</f>
        <v>3</v>
      </c>
      <c r="B1092" s="3">
        <f>1</f>
        <v>1</v>
      </c>
      <c r="C1092" s="1">
        <f>0</f>
        <v>0</v>
      </c>
      <c r="D1092" s="1">
        <f>0</f>
        <v>0</v>
      </c>
      <c r="E1092" s="1" t="s">
        <v>826</v>
      </c>
      <c r="F1092" s="1"/>
      <c r="G1092" s="5">
        <f>183.3333</f>
        <v>183.3333</v>
      </c>
      <c r="H1092" s="7">
        <f t="shared" si="17"/>
        <v>0.07996985862780422</v>
      </c>
    </row>
    <row r="1093" spans="1:8" ht="14.25" customHeight="1">
      <c r="A1093" s="3">
        <f>3</f>
        <v>3</v>
      </c>
      <c r="B1093" s="3">
        <f>1</f>
        <v>1</v>
      </c>
      <c r="C1093" s="1">
        <f>0</f>
        <v>0</v>
      </c>
      <c r="D1093" s="1">
        <f>0</f>
        <v>0</v>
      </c>
      <c r="E1093" s="1" t="s">
        <v>827</v>
      </c>
      <c r="F1093" s="1"/>
      <c r="G1093" s="5">
        <f>50.6667</f>
        <v>50.6667</v>
      </c>
      <c r="H1093" s="7">
        <f t="shared" si="17"/>
        <v>0.02210077948816373</v>
      </c>
    </row>
    <row r="1094" spans="1:8" ht="14.25" customHeight="1">
      <c r="A1094" s="3">
        <f>3</f>
        <v>3</v>
      </c>
      <c r="B1094" s="3">
        <f>1</f>
        <v>1</v>
      </c>
      <c r="C1094" s="1">
        <f>0</f>
        <v>0</v>
      </c>
      <c r="D1094" s="1">
        <f>0</f>
        <v>0</v>
      </c>
      <c r="E1094" s="1" t="s">
        <v>1092</v>
      </c>
      <c r="F1094" s="1"/>
      <c r="G1094" s="5">
        <f>1083</f>
        <v>1083</v>
      </c>
      <c r="H1094" s="7">
        <f t="shared" si="17"/>
        <v>0.4724038507674927</v>
      </c>
    </row>
    <row r="1095" spans="1:8" ht="14.25" customHeight="1">
      <c r="A1095" s="3">
        <f>0</f>
        <v>0</v>
      </c>
      <c r="B1095" s="3">
        <f>1</f>
        <v>1</v>
      </c>
      <c r="C1095" s="1">
        <f>0</f>
        <v>0</v>
      </c>
      <c r="D1095" s="1">
        <f>0</f>
        <v>0</v>
      </c>
      <c r="E1095" s="1" t="s">
        <v>1562</v>
      </c>
      <c r="F1095" s="1" t="s">
        <v>1382</v>
      </c>
      <c r="G1095" s="5">
        <f>254.6667</f>
        <v>254.6667</v>
      </c>
      <c r="H1095" s="7">
        <f t="shared" si="17"/>
        <v>0.11108543835849476</v>
      </c>
    </row>
    <row r="1096" spans="1:8" ht="14.25" customHeight="1">
      <c r="A1096" s="3">
        <f>3</f>
        <v>3</v>
      </c>
      <c r="B1096" s="3">
        <f>1</f>
        <v>1</v>
      </c>
      <c r="C1096" s="1">
        <f>0</f>
        <v>0</v>
      </c>
      <c r="D1096" s="1">
        <f>0</f>
        <v>0</v>
      </c>
      <c r="E1096" s="1" t="s">
        <v>828</v>
      </c>
      <c r="F1096" s="1"/>
      <c r="G1096" s="5">
        <f>76</f>
        <v>76</v>
      </c>
      <c r="H1096" s="7">
        <f t="shared" si="17"/>
        <v>0.03315114742228019</v>
      </c>
    </row>
    <row r="1097" spans="1:8" ht="14.25" customHeight="1">
      <c r="A1097" s="3">
        <f>3</f>
        <v>3</v>
      </c>
      <c r="B1097" s="3">
        <f>1</f>
        <v>1</v>
      </c>
      <c r="C1097" s="1">
        <f>0</f>
        <v>0</v>
      </c>
      <c r="D1097" s="1">
        <f>0</f>
        <v>0</v>
      </c>
      <c r="E1097" s="1" t="s">
        <v>1246</v>
      </c>
      <c r="F1097" s="1"/>
      <c r="G1097" s="5">
        <f>0.9259</f>
        <v>0.9259</v>
      </c>
      <c r="H1097" s="7">
        <f t="shared" si="17"/>
        <v>0.000403876939451174</v>
      </c>
    </row>
    <row r="1098" spans="1:8" ht="14.25" customHeight="1">
      <c r="A1098" s="3">
        <f>3</f>
        <v>3</v>
      </c>
      <c r="B1098" s="3">
        <f>1</f>
        <v>1</v>
      </c>
      <c r="C1098" s="1">
        <f>0</f>
        <v>0</v>
      </c>
      <c r="D1098" s="1">
        <f>0</f>
        <v>0</v>
      </c>
      <c r="E1098" s="1" t="s">
        <v>1431</v>
      </c>
      <c r="F1098" s="1"/>
      <c r="G1098" s="5">
        <f>25.3333</f>
        <v>25.3333</v>
      </c>
      <c r="H1098" s="7">
        <f t="shared" si="17"/>
        <v>0.011050367934116456</v>
      </c>
    </row>
    <row r="1099" spans="1:8" ht="14.25" customHeight="1">
      <c r="A1099" s="3">
        <f>3</f>
        <v>3</v>
      </c>
      <c r="B1099" s="3">
        <f>1</f>
        <v>1</v>
      </c>
      <c r="C1099" s="1">
        <f>0</f>
        <v>0</v>
      </c>
      <c r="D1099" s="1">
        <f>0</f>
        <v>0</v>
      </c>
      <c r="E1099" s="1" t="s">
        <v>515</v>
      </c>
      <c r="F1099" s="1"/>
      <c r="G1099" s="5">
        <f>88.3333</f>
        <v>88.3333</v>
      </c>
      <c r="H1099" s="7">
        <f t="shared" si="17"/>
        <v>0.03853092434995398</v>
      </c>
    </row>
    <row r="1100" spans="1:8" ht="14.25" customHeight="1">
      <c r="A1100" s="3">
        <f>0</f>
        <v>0</v>
      </c>
      <c r="B1100" s="3">
        <f>1</f>
        <v>1</v>
      </c>
      <c r="C1100" s="1">
        <f>0</f>
        <v>0</v>
      </c>
      <c r="D1100" s="1">
        <f>0</f>
        <v>0</v>
      </c>
      <c r="E1100" s="1" t="s">
        <v>315</v>
      </c>
      <c r="F1100" s="1" t="s">
        <v>487</v>
      </c>
      <c r="G1100" s="5">
        <f>2333.338</f>
        <v>2333.338</v>
      </c>
      <c r="H1100" s="7">
        <f t="shared" si="17"/>
        <v>1.0178004213685317</v>
      </c>
    </row>
    <row r="1101" spans="1:8" ht="14.25" customHeight="1">
      <c r="A1101" s="3">
        <f>3</f>
        <v>3</v>
      </c>
      <c r="B1101" s="3">
        <f>1</f>
        <v>1</v>
      </c>
      <c r="C1101" s="1">
        <f>0</f>
        <v>0</v>
      </c>
      <c r="D1101" s="1">
        <f>0</f>
        <v>0</v>
      </c>
      <c r="E1101" s="1" t="s">
        <v>1521</v>
      </c>
      <c r="F1101" s="1"/>
      <c r="G1101" s="5">
        <f>202.875</f>
        <v>202.875</v>
      </c>
      <c r="H1101" s="7">
        <f t="shared" si="17"/>
        <v>0.08849393464861964</v>
      </c>
    </row>
    <row r="1102" spans="1:8" ht="14.25" customHeight="1">
      <c r="A1102" s="3">
        <f>0</f>
        <v>0</v>
      </c>
      <c r="B1102" s="3">
        <f>1</f>
        <v>1</v>
      </c>
      <c r="C1102" s="1">
        <f>0</f>
        <v>0</v>
      </c>
      <c r="D1102" s="1">
        <f>0</f>
        <v>0</v>
      </c>
      <c r="E1102" s="1" t="s">
        <v>474</v>
      </c>
      <c r="F1102" s="1" t="s">
        <v>1480</v>
      </c>
      <c r="G1102" s="5">
        <f>58.2222</f>
        <v>58.2222</v>
      </c>
      <c r="H1102" s="7">
        <f t="shared" si="17"/>
        <v>0.025396483361177388</v>
      </c>
    </row>
    <row r="1103" spans="1:8" ht="14.25" customHeight="1">
      <c r="A1103" s="3">
        <f>0</f>
        <v>0</v>
      </c>
      <c r="B1103" s="3">
        <f>1</f>
        <v>1</v>
      </c>
      <c r="C1103" s="1">
        <f>0</f>
        <v>0</v>
      </c>
      <c r="D1103" s="1">
        <f>0</f>
        <v>0</v>
      </c>
      <c r="E1103" s="1" t="s">
        <v>286</v>
      </c>
      <c r="F1103" s="1" t="s">
        <v>534</v>
      </c>
      <c r="G1103" s="5">
        <f>458.6667</f>
        <v>458.6667</v>
      </c>
      <c r="H1103" s="7">
        <f t="shared" si="17"/>
        <v>0.2000700972288258</v>
      </c>
    </row>
    <row r="1104" spans="1:8" ht="14.25" customHeight="1">
      <c r="A1104" s="3">
        <f>0</f>
        <v>0</v>
      </c>
      <c r="B1104" s="3">
        <f>1</f>
        <v>1</v>
      </c>
      <c r="C1104" s="1">
        <f>0</f>
        <v>0</v>
      </c>
      <c r="D1104" s="1">
        <f>0</f>
        <v>0</v>
      </c>
      <c r="E1104" s="1" t="s">
        <v>397</v>
      </c>
      <c r="F1104" s="1" t="s">
        <v>187</v>
      </c>
      <c r="G1104" s="5">
        <f>16</f>
        <v>16</v>
      </c>
      <c r="H1104" s="7">
        <f t="shared" si="17"/>
        <v>0.006979188931006355</v>
      </c>
    </row>
    <row r="1105" spans="1:8" ht="14.25" customHeight="1">
      <c r="A1105" s="3">
        <f>3</f>
        <v>3</v>
      </c>
      <c r="B1105" s="3">
        <f>1</f>
        <v>1</v>
      </c>
      <c r="C1105" s="1">
        <f>0</f>
        <v>0</v>
      </c>
      <c r="D1105" s="1">
        <f>0</f>
        <v>0</v>
      </c>
      <c r="E1105" s="1" t="s">
        <v>54</v>
      </c>
      <c r="F1105" s="1"/>
      <c r="G1105" s="5">
        <f>18.4833</f>
        <v>18.4833</v>
      </c>
      <c r="H1105" s="7">
        <f t="shared" si="17"/>
        <v>0.00806240267302936</v>
      </c>
    </row>
    <row r="1106" spans="1:8" ht="14.25" customHeight="1">
      <c r="A1106" s="3">
        <f>3</f>
        <v>3</v>
      </c>
      <c r="B1106" s="3">
        <f>1</f>
        <v>1</v>
      </c>
      <c r="C1106" s="1">
        <f>0</f>
        <v>0</v>
      </c>
      <c r="D1106" s="1">
        <f>0</f>
        <v>0</v>
      </c>
      <c r="E1106" s="1" t="s">
        <v>86</v>
      </c>
      <c r="F1106" s="1"/>
      <c r="G1106" s="5">
        <f>16.525</f>
        <v>16.525</v>
      </c>
      <c r="H1106" s="7">
        <f t="shared" si="17"/>
        <v>0.007208193567805001</v>
      </c>
    </row>
    <row r="1107" spans="1:8" ht="14.25" customHeight="1">
      <c r="A1107" s="3">
        <f>3</f>
        <v>3</v>
      </c>
      <c r="B1107" s="3">
        <f>1</f>
        <v>1</v>
      </c>
      <c r="C1107" s="1">
        <f>0</f>
        <v>0</v>
      </c>
      <c r="D1107" s="1">
        <f>0</f>
        <v>0</v>
      </c>
      <c r="E1107" s="1" t="s">
        <v>1320</v>
      </c>
      <c r="F1107" s="1"/>
      <c r="G1107" s="5">
        <f>13</f>
        <v>13</v>
      </c>
      <c r="H1107" s="7">
        <f t="shared" si="17"/>
        <v>0.005670591006442663</v>
      </c>
    </row>
    <row r="1108" spans="1:8" ht="14.25" customHeight="1">
      <c r="A1108" s="3">
        <f>3</f>
        <v>3</v>
      </c>
      <c r="B1108" s="3">
        <f>1</f>
        <v>1</v>
      </c>
      <c r="C1108" s="1">
        <f>0</f>
        <v>0</v>
      </c>
      <c r="D1108" s="1">
        <f>0</f>
        <v>0</v>
      </c>
      <c r="E1108" s="1" t="s">
        <v>1321</v>
      </c>
      <c r="F1108" s="1"/>
      <c r="G1108" s="5">
        <f>13</f>
        <v>13</v>
      </c>
      <c r="H1108" s="7">
        <f t="shared" si="17"/>
        <v>0.005670591006442663</v>
      </c>
    </row>
    <row r="1109" spans="1:8" ht="14.25" customHeight="1">
      <c r="A1109" s="3">
        <f>3</f>
        <v>3</v>
      </c>
      <c r="B1109" s="3">
        <f>1</f>
        <v>1</v>
      </c>
      <c r="C1109" s="1">
        <f>0</f>
        <v>0</v>
      </c>
      <c r="D1109" s="1">
        <f>0</f>
        <v>0</v>
      </c>
      <c r="E1109" s="1" t="s">
        <v>829</v>
      </c>
      <c r="F1109" s="1"/>
      <c r="G1109" s="5">
        <f>324.5</f>
        <v>324.5</v>
      </c>
      <c r="H1109" s="7">
        <f t="shared" si="17"/>
        <v>0.14154667550697264</v>
      </c>
    </row>
    <row r="1110" spans="1:8" ht="14.25" customHeight="1">
      <c r="A1110" s="3">
        <f>3</f>
        <v>3</v>
      </c>
      <c r="B1110" s="3">
        <f>1</f>
        <v>1</v>
      </c>
      <c r="C1110" s="1">
        <f>0</f>
        <v>0</v>
      </c>
      <c r="D1110" s="1">
        <f>0</f>
        <v>0</v>
      </c>
      <c r="E1110" s="1" t="s">
        <v>56</v>
      </c>
      <c r="F1110" s="1"/>
      <c r="G1110" s="5">
        <f>18.4833</f>
        <v>18.4833</v>
      </c>
      <c r="H1110" s="7">
        <f t="shared" si="17"/>
        <v>0.00806240267302936</v>
      </c>
    </row>
    <row r="1111" spans="1:8" ht="14.25" customHeight="1">
      <c r="A1111" s="3">
        <f>3</f>
        <v>3</v>
      </c>
      <c r="B1111" s="3">
        <f>1</f>
        <v>1</v>
      </c>
      <c r="C1111" s="1">
        <f>0</f>
        <v>0</v>
      </c>
      <c r="D1111" s="1">
        <f>0</f>
        <v>0</v>
      </c>
      <c r="E1111" s="1" t="s">
        <v>55</v>
      </c>
      <c r="F1111" s="1"/>
      <c r="G1111" s="5">
        <f>1.9583</f>
        <v>1.9583</v>
      </c>
      <c r="H1111" s="7">
        <f t="shared" si="17"/>
        <v>0.000854209105224359</v>
      </c>
    </row>
    <row r="1112" spans="1:8" ht="14.25" customHeight="1">
      <c r="A1112" s="3">
        <f>3</f>
        <v>3</v>
      </c>
      <c r="B1112" s="3">
        <f>1</f>
        <v>1</v>
      </c>
      <c r="C1112" s="1">
        <f>0</f>
        <v>0</v>
      </c>
      <c r="D1112" s="1">
        <f>0</f>
        <v>0</v>
      </c>
      <c r="E1112" s="1" t="s">
        <v>486</v>
      </c>
      <c r="F1112" s="1"/>
      <c r="G1112" s="5">
        <f>1142</f>
        <v>1142</v>
      </c>
      <c r="H1112" s="7">
        <f t="shared" si="17"/>
        <v>0.4981396099505786</v>
      </c>
    </row>
    <row r="1113" spans="1:8" ht="14.25" customHeight="1">
      <c r="A1113" s="3">
        <f>0</f>
        <v>0</v>
      </c>
      <c r="B1113" s="3">
        <f>1</f>
        <v>1</v>
      </c>
      <c r="C1113" s="1">
        <f>0</f>
        <v>0</v>
      </c>
      <c r="D1113" s="1">
        <f>0</f>
        <v>0</v>
      </c>
      <c r="E1113" s="1" t="s">
        <v>57</v>
      </c>
      <c r="F1113" s="1" t="s">
        <v>1581</v>
      </c>
      <c r="G1113" s="5">
        <f>0.2083</f>
        <v>0.2083</v>
      </c>
      <c r="H1113" s="7">
        <f t="shared" si="17"/>
        <v>9.0860315895539E-05</v>
      </c>
    </row>
    <row r="1114" spans="1:8" ht="14.25" customHeight="1">
      <c r="A1114" s="3">
        <f>3</f>
        <v>3</v>
      </c>
      <c r="B1114" s="3">
        <f>1</f>
        <v>1</v>
      </c>
      <c r="C1114" s="1">
        <f>0</f>
        <v>0</v>
      </c>
      <c r="D1114" s="1">
        <f>0</f>
        <v>0</v>
      </c>
      <c r="E1114" s="1" t="s">
        <v>398</v>
      </c>
      <c r="F1114" s="1"/>
      <c r="G1114" s="5">
        <f>22.7</f>
        <v>22.7</v>
      </c>
      <c r="H1114" s="7">
        <f t="shared" si="17"/>
        <v>0.009901724295865267</v>
      </c>
    </row>
    <row r="1115" spans="1:8" ht="14.25" customHeight="1">
      <c r="A1115" s="3">
        <f>3</f>
        <v>3</v>
      </c>
      <c r="B1115" s="3">
        <f>1</f>
        <v>1</v>
      </c>
      <c r="C1115" s="1">
        <f>0</f>
        <v>0</v>
      </c>
      <c r="D1115" s="1">
        <f>0</f>
        <v>0</v>
      </c>
      <c r="E1115" s="1" t="s">
        <v>234</v>
      </c>
      <c r="F1115" s="1"/>
      <c r="G1115" s="5">
        <f>13</f>
        <v>13</v>
      </c>
      <c r="H1115" s="7">
        <f t="shared" si="17"/>
        <v>0.005670591006442663</v>
      </c>
    </row>
    <row r="1116" spans="1:8" ht="14.25" customHeight="1">
      <c r="A1116" s="3">
        <f>3</f>
        <v>3</v>
      </c>
      <c r="B1116" s="3">
        <f>1</f>
        <v>1</v>
      </c>
      <c r="C1116" s="1">
        <f>0</f>
        <v>0</v>
      </c>
      <c r="D1116" s="1">
        <f>0</f>
        <v>0</v>
      </c>
      <c r="E1116" s="1" t="s">
        <v>316</v>
      </c>
      <c r="F1116" s="1"/>
      <c r="G1116" s="5">
        <f>28.8</f>
        <v>28.8</v>
      </c>
      <c r="H1116" s="7">
        <f t="shared" si="17"/>
        <v>0.01256254007581144</v>
      </c>
    </row>
    <row r="1117" spans="1:8" ht="14.25" customHeight="1">
      <c r="A1117" s="3">
        <f>3</f>
        <v>3</v>
      </c>
      <c r="B1117" s="3">
        <f>1</f>
        <v>1</v>
      </c>
      <c r="C1117" s="1">
        <f>0</f>
        <v>0</v>
      </c>
      <c r="D1117" s="1">
        <f>0</f>
        <v>0</v>
      </c>
      <c r="E1117" s="1" t="s">
        <v>58</v>
      </c>
      <c r="F1117" s="1"/>
      <c r="G1117" s="5">
        <f>162.1964</f>
        <v>162.1964</v>
      </c>
      <c r="H1117" s="7">
        <f t="shared" si="17"/>
        <v>0.07074995747056745</v>
      </c>
    </row>
    <row r="1118" spans="1:8" ht="14.25" customHeight="1">
      <c r="A1118" s="3">
        <f>3</f>
        <v>3</v>
      </c>
      <c r="B1118" s="3">
        <f>1</f>
        <v>1</v>
      </c>
      <c r="C1118" s="1">
        <f>0</f>
        <v>0</v>
      </c>
      <c r="D1118" s="1">
        <f>0</f>
        <v>0</v>
      </c>
      <c r="E1118" s="1" t="s">
        <v>787</v>
      </c>
      <c r="F1118" s="1"/>
      <c r="G1118" s="5">
        <f>8</f>
        <v>8</v>
      </c>
      <c r="H1118" s="7">
        <f t="shared" si="17"/>
        <v>0.0034895944655031776</v>
      </c>
    </row>
    <row r="1119" spans="1:8" ht="14.25" customHeight="1">
      <c r="A1119" s="3">
        <f>3</f>
        <v>3</v>
      </c>
      <c r="B1119" s="3">
        <f>1</f>
        <v>1</v>
      </c>
      <c r="C1119" s="1">
        <f>0</f>
        <v>0</v>
      </c>
      <c r="D1119" s="1">
        <f>0</f>
        <v>0</v>
      </c>
      <c r="E1119" s="1" t="s">
        <v>1474</v>
      </c>
      <c r="F1119" s="1"/>
      <c r="G1119" s="5">
        <f>575.55</f>
        <v>575.55</v>
      </c>
      <c r="H1119" s="7">
        <f t="shared" si="17"/>
        <v>0.25105451182754424</v>
      </c>
    </row>
    <row r="1120" spans="1:8" ht="14.25" customHeight="1">
      <c r="A1120" s="3">
        <f>3</f>
        <v>3</v>
      </c>
      <c r="B1120" s="3">
        <f>1</f>
        <v>1</v>
      </c>
      <c r="C1120" s="1">
        <f>0</f>
        <v>0</v>
      </c>
      <c r="D1120" s="1">
        <f>0</f>
        <v>0</v>
      </c>
      <c r="E1120" s="1" t="s">
        <v>1432</v>
      </c>
      <c r="F1120" s="1"/>
      <c r="G1120" s="5">
        <f>38.8571</f>
        <v>38.8571</v>
      </c>
      <c r="H1120" s="7">
        <f t="shared" si="17"/>
        <v>0.01694944013818794</v>
      </c>
    </row>
    <row r="1121" spans="1:8" ht="14.25" customHeight="1">
      <c r="A1121" s="3">
        <f>3</f>
        <v>3</v>
      </c>
      <c r="B1121" s="3">
        <f>1</f>
        <v>1</v>
      </c>
      <c r="C1121" s="1">
        <f>0</f>
        <v>0</v>
      </c>
      <c r="D1121" s="1">
        <f>0</f>
        <v>0</v>
      </c>
      <c r="E1121" s="1" t="s">
        <v>1282</v>
      </c>
      <c r="F1121" s="1"/>
      <c r="G1121" s="5">
        <f>9.4792</f>
        <v>9.4792</v>
      </c>
      <c r="H1121" s="7">
        <f t="shared" si="17"/>
        <v>0.004134820482174715</v>
      </c>
    </row>
    <row r="1122" spans="1:8" ht="14.25" customHeight="1">
      <c r="A1122" s="3">
        <f>3</f>
        <v>3</v>
      </c>
      <c r="B1122" s="3">
        <f>1</f>
        <v>1</v>
      </c>
      <c r="C1122" s="1">
        <f>0</f>
        <v>0</v>
      </c>
      <c r="D1122" s="1">
        <f>0</f>
        <v>0</v>
      </c>
      <c r="E1122" s="1" t="s">
        <v>1283</v>
      </c>
      <c r="F1122" s="1"/>
      <c r="G1122" s="5">
        <f>260.5434</f>
        <v>260.5434</v>
      </c>
      <c r="H1122" s="7">
        <f t="shared" si="17"/>
        <v>0.11364885083292259</v>
      </c>
    </row>
    <row r="1123" spans="1:8" ht="14.25" customHeight="1">
      <c r="A1123" s="3">
        <f>3</f>
        <v>3</v>
      </c>
      <c r="B1123" s="3">
        <f>1</f>
        <v>1</v>
      </c>
      <c r="C1123" s="1">
        <f>0</f>
        <v>0</v>
      </c>
      <c r="D1123" s="1">
        <f>0</f>
        <v>0</v>
      </c>
      <c r="E1123" s="1" t="s">
        <v>1563</v>
      </c>
      <c r="F1123" s="1"/>
      <c r="G1123" s="5">
        <f>82.9</f>
        <v>82.9</v>
      </c>
      <c r="H1123" s="7">
        <f t="shared" si="17"/>
        <v>0.03616092264877668</v>
      </c>
    </row>
    <row r="1124" spans="1:8" ht="14.25" customHeight="1">
      <c r="A1124" s="3">
        <f>0</f>
        <v>0</v>
      </c>
      <c r="B1124" s="3">
        <f>1</f>
        <v>1</v>
      </c>
      <c r="C1124" s="1">
        <f>0</f>
        <v>0</v>
      </c>
      <c r="D1124" s="1">
        <f>0</f>
        <v>0</v>
      </c>
      <c r="E1124" s="1" t="s">
        <v>206</v>
      </c>
      <c r="F1124" s="1" t="s">
        <v>377</v>
      </c>
      <c r="G1124" s="5">
        <f>896.0573</f>
        <v>896.0573</v>
      </c>
      <c r="H1124" s="7">
        <f t="shared" si="17"/>
        <v>0.3908595743567151</v>
      </c>
    </row>
    <row r="1125" spans="1:8" ht="14.25" customHeight="1">
      <c r="A1125" s="3">
        <f>3</f>
        <v>3</v>
      </c>
      <c r="B1125" s="3">
        <f>1</f>
        <v>1</v>
      </c>
      <c r="C1125" s="1">
        <f>0</f>
        <v>0</v>
      </c>
      <c r="D1125" s="1">
        <f>0</f>
        <v>0</v>
      </c>
      <c r="E1125" s="1" t="s">
        <v>1564</v>
      </c>
      <c r="F1125" s="1"/>
      <c r="G1125" s="5">
        <f>2.6</f>
        <v>2.6</v>
      </c>
      <c r="H1125" s="7">
        <f t="shared" si="17"/>
        <v>0.0011341182012885329</v>
      </c>
    </row>
    <row r="1126" spans="1:8" ht="14.25" customHeight="1">
      <c r="A1126" s="3">
        <f>3</f>
        <v>3</v>
      </c>
      <c r="B1126" s="3">
        <f>1</f>
        <v>1</v>
      </c>
      <c r="C1126" s="1">
        <f>0</f>
        <v>0</v>
      </c>
      <c r="D1126" s="1">
        <f>0</f>
        <v>0</v>
      </c>
      <c r="E1126" s="1" t="s">
        <v>1375</v>
      </c>
      <c r="F1126" s="1"/>
      <c r="G1126" s="5">
        <f>5.3333</f>
        <v>5.3333</v>
      </c>
      <c r="H1126" s="7">
        <f t="shared" si="17"/>
        <v>0.0023263817703585124</v>
      </c>
    </row>
    <row r="1127" spans="1:8" ht="14.25" customHeight="1">
      <c r="A1127" s="3">
        <f>3</f>
        <v>3</v>
      </c>
      <c r="B1127" s="3">
        <f>1</f>
        <v>1</v>
      </c>
      <c r="C1127" s="1">
        <f>0</f>
        <v>0</v>
      </c>
      <c r="D1127" s="1">
        <f>0</f>
        <v>0</v>
      </c>
      <c r="E1127" s="1" t="s">
        <v>1058</v>
      </c>
      <c r="F1127" s="1"/>
      <c r="G1127" s="5">
        <f>80</f>
        <v>80</v>
      </c>
      <c r="H1127" s="7">
        <f t="shared" si="17"/>
        <v>0.03489594465503178</v>
      </c>
    </row>
    <row r="1128" spans="1:8" ht="14.25" customHeight="1">
      <c r="A1128" s="3">
        <f>0</f>
        <v>0</v>
      </c>
      <c r="B1128" s="3">
        <f>1</f>
        <v>1</v>
      </c>
      <c r="C1128" s="1">
        <f>0</f>
        <v>0</v>
      </c>
      <c r="D1128" s="1">
        <f>0</f>
        <v>0</v>
      </c>
      <c r="E1128" s="1" t="s">
        <v>153</v>
      </c>
      <c r="F1128" s="1" t="s">
        <v>264</v>
      </c>
      <c r="G1128" s="5">
        <f>91.3571</f>
        <v>91.3571</v>
      </c>
      <c r="H1128" s="7">
        <f t="shared" si="17"/>
        <v>0.03984990381805254</v>
      </c>
    </row>
    <row r="1129" spans="1:8" ht="14.25" customHeight="1">
      <c r="A1129" s="3">
        <f>3</f>
        <v>3</v>
      </c>
      <c r="B1129" s="3">
        <f>1</f>
        <v>1</v>
      </c>
      <c r="C1129" s="1">
        <f>0</f>
        <v>0</v>
      </c>
      <c r="D1129" s="1">
        <f>0</f>
        <v>0</v>
      </c>
      <c r="E1129" s="1" t="s">
        <v>1376</v>
      </c>
      <c r="F1129" s="1"/>
      <c r="G1129" s="5">
        <f>678</f>
        <v>678</v>
      </c>
      <c r="H1129" s="7">
        <f t="shared" si="17"/>
        <v>0.2957431309513943</v>
      </c>
    </row>
    <row r="1130" spans="1:8" ht="14.25" customHeight="1">
      <c r="A1130" s="3">
        <f>3</f>
        <v>3</v>
      </c>
      <c r="B1130" s="3">
        <f>1</f>
        <v>1</v>
      </c>
      <c r="C1130" s="1">
        <f>0</f>
        <v>0</v>
      </c>
      <c r="D1130" s="1">
        <f>0</f>
        <v>0</v>
      </c>
      <c r="E1130" s="1" t="s">
        <v>1284</v>
      </c>
      <c r="F1130" s="1"/>
      <c r="G1130" s="5">
        <f>165.8</f>
        <v>165.8</v>
      </c>
      <c r="H1130" s="7">
        <f t="shared" si="17"/>
        <v>0.07232184529755337</v>
      </c>
    </row>
    <row r="1131" spans="1:8" ht="14.25" customHeight="1">
      <c r="A1131" s="3">
        <f>3</f>
        <v>3</v>
      </c>
      <c r="B1131" s="3">
        <f>1</f>
        <v>1</v>
      </c>
      <c r="C1131" s="1">
        <f>0</f>
        <v>0</v>
      </c>
      <c r="D1131" s="1">
        <f>0</f>
        <v>0</v>
      </c>
      <c r="E1131" s="1" t="s">
        <v>1126</v>
      </c>
      <c r="F1131" s="1"/>
      <c r="G1131" s="5">
        <f>234.6094</f>
        <v>234.6094</v>
      </c>
      <c r="H1131" s="7">
        <f t="shared" si="17"/>
        <v>0.10233645797437765</v>
      </c>
    </row>
    <row r="1132" spans="1:8" ht="14.25" customHeight="1">
      <c r="A1132" s="3">
        <f>3</f>
        <v>3</v>
      </c>
      <c r="B1132" s="3">
        <f>1</f>
        <v>1</v>
      </c>
      <c r="C1132" s="1">
        <f>0</f>
        <v>0</v>
      </c>
      <c r="D1132" s="1">
        <f>0</f>
        <v>0</v>
      </c>
      <c r="E1132" s="1" t="s">
        <v>1322</v>
      </c>
      <c r="F1132" s="1"/>
      <c r="G1132" s="5">
        <f>53.381</f>
        <v>53.381</v>
      </c>
      <c r="H1132" s="7">
        <f t="shared" si="17"/>
        <v>0.02328475527037814</v>
      </c>
    </row>
    <row r="1133" spans="1:8" ht="14.25" customHeight="1">
      <c r="A1133" s="3">
        <f>3</f>
        <v>3</v>
      </c>
      <c r="B1133" s="3">
        <f>1</f>
        <v>1</v>
      </c>
      <c r="C1133" s="1">
        <f>0</f>
        <v>0</v>
      </c>
      <c r="D1133" s="1">
        <f>0</f>
        <v>0</v>
      </c>
      <c r="E1133" s="1" t="s">
        <v>1286</v>
      </c>
      <c r="F1133" s="1"/>
      <c r="G1133" s="5">
        <f>17.4861</f>
        <v>17.4861</v>
      </c>
      <c r="H1133" s="7">
        <f t="shared" si="17"/>
        <v>0.00762742472290439</v>
      </c>
    </row>
    <row r="1134" spans="1:8" ht="14.25" customHeight="1">
      <c r="A1134" s="3">
        <f>3</f>
        <v>3</v>
      </c>
      <c r="B1134" s="3">
        <f>1</f>
        <v>1</v>
      </c>
      <c r="C1134" s="1">
        <f>0</f>
        <v>0</v>
      </c>
      <c r="D1134" s="1">
        <f>0</f>
        <v>0</v>
      </c>
      <c r="E1134" s="1" t="s">
        <v>1203</v>
      </c>
      <c r="F1134" s="1"/>
      <c r="G1134" s="5">
        <f>26.8889</f>
        <v>26.8889</v>
      </c>
      <c r="H1134" s="7">
        <f t="shared" si="17"/>
        <v>0.011728919577933549</v>
      </c>
    </row>
    <row r="1135" spans="1:8" ht="14.25" customHeight="1">
      <c r="A1135" s="3">
        <f>3</f>
        <v>3</v>
      </c>
      <c r="B1135" s="3">
        <f>1</f>
        <v>1</v>
      </c>
      <c r="C1135" s="1">
        <f>0</f>
        <v>0</v>
      </c>
      <c r="D1135" s="1">
        <f>0</f>
        <v>0</v>
      </c>
      <c r="E1135" s="1" t="s">
        <v>1323</v>
      </c>
      <c r="F1135" s="1"/>
      <c r="G1135" s="5">
        <f>127.8194</f>
        <v>127.8194</v>
      </c>
      <c r="H1135" s="7">
        <f t="shared" si="17"/>
        <v>0.05575473385299211</v>
      </c>
    </row>
    <row r="1136" spans="1:8" ht="14.25" customHeight="1">
      <c r="A1136" s="3">
        <f>3</f>
        <v>3</v>
      </c>
      <c r="B1136" s="3">
        <f>1</f>
        <v>1</v>
      </c>
      <c r="C1136" s="1">
        <f>0</f>
        <v>0</v>
      </c>
      <c r="D1136" s="1">
        <f>0</f>
        <v>0</v>
      </c>
      <c r="E1136" s="1" t="s">
        <v>1204</v>
      </c>
      <c r="F1136" s="1"/>
      <c r="G1136" s="5">
        <f>196.0764</f>
        <v>196.0764</v>
      </c>
      <c r="H1136" s="7">
        <f t="shared" si="17"/>
        <v>0.0855283900319734</v>
      </c>
    </row>
    <row r="1137" spans="1:8" ht="14.25" customHeight="1">
      <c r="A1137" s="3">
        <f>3</f>
        <v>3</v>
      </c>
      <c r="B1137" s="3">
        <f>1</f>
        <v>1</v>
      </c>
      <c r="C1137" s="1">
        <f>0</f>
        <v>0</v>
      </c>
      <c r="D1137" s="1">
        <f>0</f>
        <v>0</v>
      </c>
      <c r="E1137" s="1" t="s">
        <v>1565</v>
      </c>
      <c r="F1137" s="1"/>
      <c r="G1137" s="5">
        <f>15.5</f>
        <v>15.5</v>
      </c>
      <c r="H1137" s="7">
        <f t="shared" si="17"/>
        <v>0.006761089276912407</v>
      </c>
    </row>
    <row r="1138" spans="1:8" ht="14.25" customHeight="1">
      <c r="A1138" s="3">
        <f>3</f>
        <v>3</v>
      </c>
      <c r="B1138" s="3">
        <f>1</f>
        <v>1</v>
      </c>
      <c r="C1138" s="1">
        <f>0</f>
        <v>0</v>
      </c>
      <c r="D1138" s="1">
        <f>0</f>
        <v>0</v>
      </c>
      <c r="E1138" s="1" t="s">
        <v>1566</v>
      </c>
      <c r="F1138" s="1"/>
      <c r="G1138" s="5">
        <f>213.131</f>
        <v>213.131</v>
      </c>
      <c r="H1138" s="7">
        <f t="shared" si="17"/>
        <v>0.09296759475339472</v>
      </c>
    </row>
    <row r="1139" spans="1:8" ht="14.25" customHeight="1">
      <c r="A1139" s="3">
        <f>3</f>
        <v>3</v>
      </c>
      <c r="B1139" s="3">
        <f>1</f>
        <v>1</v>
      </c>
      <c r="C1139" s="1">
        <f>0</f>
        <v>0</v>
      </c>
      <c r="D1139" s="1">
        <f>0</f>
        <v>0</v>
      </c>
      <c r="E1139" s="1" t="s">
        <v>154</v>
      </c>
      <c r="F1139" s="1"/>
      <c r="G1139" s="5">
        <f>17.3333</f>
        <v>17.3333</v>
      </c>
      <c r="H1139" s="7">
        <f t="shared" si="17"/>
        <v>0.007560773468613279</v>
      </c>
    </row>
    <row r="1140" spans="1:8" ht="14.25" customHeight="1">
      <c r="A1140" s="3">
        <f>3</f>
        <v>3</v>
      </c>
      <c r="B1140" s="3">
        <f>1</f>
        <v>1</v>
      </c>
      <c r="C1140" s="1">
        <f>0</f>
        <v>0</v>
      </c>
      <c r="D1140" s="1">
        <f>0</f>
        <v>0</v>
      </c>
      <c r="E1140" s="1" t="s">
        <v>1340</v>
      </c>
      <c r="F1140" s="1"/>
      <c r="G1140" s="5">
        <f>20.3333</f>
        <v>20.3333</v>
      </c>
      <c r="H1140" s="7">
        <f t="shared" si="17"/>
        <v>0.008869371393176971</v>
      </c>
    </row>
    <row r="1141" spans="1:8" ht="14.25" customHeight="1">
      <c r="A1141" s="3">
        <f>3</f>
        <v>3</v>
      </c>
      <c r="B1141" s="3">
        <f>1</f>
        <v>1</v>
      </c>
      <c r="C1141" s="1">
        <f>0</f>
        <v>0</v>
      </c>
      <c r="D1141" s="1">
        <f>0</f>
        <v>0</v>
      </c>
      <c r="E1141" s="1" t="s">
        <v>1285</v>
      </c>
      <c r="F1141" s="1"/>
      <c r="G1141" s="5">
        <f>15.9358</f>
        <v>15.9358</v>
      </c>
      <c r="H1141" s="7">
        <f t="shared" si="17"/>
        <v>0.006951184935420692</v>
      </c>
    </row>
    <row r="1142" spans="1:8" ht="14.25" customHeight="1">
      <c r="A1142" s="3">
        <f>0</f>
        <v>0</v>
      </c>
      <c r="B1142" s="3">
        <f>1</f>
        <v>1</v>
      </c>
      <c r="C1142" s="1">
        <f>0</f>
        <v>0</v>
      </c>
      <c r="D1142" s="1">
        <f>0</f>
        <v>0</v>
      </c>
      <c r="E1142" s="1" t="s">
        <v>1567</v>
      </c>
      <c r="F1142" s="1" t="s">
        <v>1349</v>
      </c>
      <c r="G1142" s="5">
        <f>205</f>
        <v>205</v>
      </c>
      <c r="H1142" s="7">
        <f t="shared" si="17"/>
        <v>0.08942085817851893</v>
      </c>
    </row>
    <row r="1143" spans="1:8" ht="14.25" customHeight="1">
      <c r="A1143" s="3">
        <f>0</f>
        <v>0</v>
      </c>
      <c r="B1143" s="3">
        <f>1</f>
        <v>1</v>
      </c>
      <c r="C1143" s="1">
        <f>0</f>
        <v>0</v>
      </c>
      <c r="D1143" s="1">
        <f>0</f>
        <v>0</v>
      </c>
      <c r="E1143" s="1" t="s">
        <v>541</v>
      </c>
      <c r="F1143" s="1" t="s">
        <v>135</v>
      </c>
      <c r="G1143" s="5">
        <f>115.8571</f>
        <v>115.8571</v>
      </c>
      <c r="H1143" s="7">
        <f t="shared" si="17"/>
        <v>0.05053678686865603</v>
      </c>
    </row>
    <row r="1144" spans="1:8" ht="14.25" customHeight="1">
      <c r="A1144" s="3">
        <f>0</f>
        <v>0</v>
      </c>
      <c r="B1144" s="3">
        <f>1</f>
        <v>1</v>
      </c>
      <c r="C1144" s="1">
        <f>0</f>
        <v>0</v>
      </c>
      <c r="D1144" s="1">
        <f>0</f>
        <v>0</v>
      </c>
      <c r="E1144" s="1" t="s">
        <v>1433</v>
      </c>
      <c r="F1144" s="1" t="s">
        <v>121</v>
      </c>
      <c r="G1144" s="5">
        <f>48.0476</f>
        <v>48.0476</v>
      </c>
      <c r="H1144" s="7">
        <f t="shared" si="17"/>
        <v>0.020958329880088812</v>
      </c>
    </row>
    <row r="1145" spans="1:8" ht="14.25" customHeight="1">
      <c r="A1145" s="3">
        <f>3</f>
        <v>3</v>
      </c>
      <c r="B1145" s="3">
        <f>1</f>
        <v>1</v>
      </c>
      <c r="C1145" s="1">
        <f>0</f>
        <v>0</v>
      </c>
      <c r="D1145" s="1">
        <f>0</f>
        <v>0</v>
      </c>
      <c r="E1145" s="1" t="s">
        <v>1168</v>
      </c>
      <c r="F1145" s="1"/>
      <c r="G1145" s="5">
        <f>14.5238</f>
        <v>14.5238</v>
      </c>
      <c r="H1145" s="7">
        <f t="shared" si="17"/>
        <v>0.006335271512259382</v>
      </c>
    </row>
    <row r="1146" spans="1:8" ht="14.25" customHeight="1">
      <c r="A1146" s="3">
        <f>0</f>
        <v>0</v>
      </c>
      <c r="B1146" s="3">
        <f>1</f>
        <v>1</v>
      </c>
      <c r="C1146" s="1">
        <f>0</f>
        <v>0</v>
      </c>
      <c r="D1146" s="1">
        <f>0</f>
        <v>0</v>
      </c>
      <c r="E1146" s="1" t="s">
        <v>1377</v>
      </c>
      <c r="F1146" s="1" t="s">
        <v>292</v>
      </c>
      <c r="G1146" s="5">
        <f>12.6127</f>
        <v>12.6127</v>
      </c>
      <c r="H1146" s="7">
        <f t="shared" si="17"/>
        <v>0.005501651014381491</v>
      </c>
    </row>
    <row r="1147" spans="1:8" ht="14.25" customHeight="1">
      <c r="A1147" s="3">
        <f>3</f>
        <v>3</v>
      </c>
      <c r="B1147" s="3">
        <f>1</f>
        <v>1</v>
      </c>
      <c r="C1147" s="1">
        <f>0</f>
        <v>0</v>
      </c>
      <c r="D1147" s="1">
        <f>0</f>
        <v>0</v>
      </c>
      <c r="E1147" s="1" t="s">
        <v>1378</v>
      </c>
      <c r="F1147" s="1"/>
      <c r="G1147" s="5">
        <f>859.7396</f>
        <v>859.7396</v>
      </c>
      <c r="H1147" s="7">
        <f t="shared" si="17"/>
        <v>0.37501781874173945</v>
      </c>
    </row>
    <row r="1148" spans="1:8" ht="14.25" customHeight="1">
      <c r="A1148" s="3">
        <f>3</f>
        <v>3</v>
      </c>
      <c r="B1148" s="3">
        <f>1</f>
        <v>1</v>
      </c>
      <c r="C1148" s="1">
        <f>0</f>
        <v>0</v>
      </c>
      <c r="D1148" s="1">
        <f>0</f>
        <v>0</v>
      </c>
      <c r="E1148" s="1" t="s">
        <v>1059</v>
      </c>
      <c r="F1148" s="1"/>
      <c r="G1148" s="5">
        <f>62.1</f>
        <v>62.1</v>
      </c>
      <c r="H1148" s="7">
        <f t="shared" si="17"/>
        <v>0.027087977038468415</v>
      </c>
    </row>
    <row r="1149" spans="1:8" ht="14.25" customHeight="1">
      <c r="A1149" s="3">
        <f>3</f>
        <v>3</v>
      </c>
      <c r="B1149" s="3">
        <f>1</f>
        <v>1</v>
      </c>
      <c r="C1149" s="1">
        <f>0</f>
        <v>0</v>
      </c>
      <c r="D1149" s="1">
        <f>0</f>
        <v>0</v>
      </c>
      <c r="E1149" s="1" t="s">
        <v>1341</v>
      </c>
      <c r="F1149" s="1"/>
      <c r="G1149" s="5">
        <f>252.5434</f>
        <v>252.5434</v>
      </c>
      <c r="H1149" s="7">
        <f t="shared" si="17"/>
        <v>0.1101592563674194</v>
      </c>
    </row>
    <row r="1150" spans="1:8" ht="14.25" customHeight="1">
      <c r="A1150" s="3">
        <f>3</f>
        <v>3</v>
      </c>
      <c r="B1150" s="3">
        <f>1</f>
        <v>1</v>
      </c>
      <c r="C1150" s="1">
        <f>0</f>
        <v>0</v>
      </c>
      <c r="D1150" s="1">
        <f>0</f>
        <v>0</v>
      </c>
      <c r="E1150" s="1" t="s">
        <v>235</v>
      </c>
      <c r="F1150" s="1"/>
      <c r="G1150" s="5">
        <f>100.1302</f>
        <v>100.1302</v>
      </c>
      <c r="H1150" s="7">
        <f t="shared" si="17"/>
        <v>0.04367672396871578</v>
      </c>
    </row>
    <row r="1151" spans="1:8" ht="14.25" customHeight="1">
      <c r="A1151" s="3">
        <f>3</f>
        <v>3</v>
      </c>
      <c r="B1151" s="3">
        <f>1</f>
        <v>1</v>
      </c>
      <c r="C1151" s="1">
        <f>0</f>
        <v>0</v>
      </c>
      <c r="D1151" s="1">
        <f>0</f>
        <v>0</v>
      </c>
      <c r="E1151" s="1" t="s">
        <v>1568</v>
      </c>
      <c r="F1151" s="1"/>
      <c r="G1151" s="5">
        <f>72.75</f>
        <v>72.75</v>
      </c>
      <c r="H1151" s="7">
        <f t="shared" si="17"/>
        <v>0.03173349967066952</v>
      </c>
    </row>
    <row r="1152" spans="1:8" ht="14.25" customHeight="1">
      <c r="A1152" s="3">
        <f>3</f>
        <v>3</v>
      </c>
      <c r="B1152" s="3">
        <f>1</f>
        <v>1</v>
      </c>
      <c r="C1152" s="1">
        <f>0</f>
        <v>0</v>
      </c>
      <c r="D1152" s="1">
        <f>0</f>
        <v>0</v>
      </c>
      <c r="E1152" s="1" t="s">
        <v>236</v>
      </c>
      <c r="F1152" s="1"/>
      <c r="G1152" s="5">
        <f>298.0063</f>
        <v>298.0063</v>
      </c>
      <c r="H1152" s="7">
        <f t="shared" si="17"/>
        <v>0.12999014189563496</v>
      </c>
    </row>
    <row r="1153" spans="1:8" ht="14.25" customHeight="1">
      <c r="A1153" s="3">
        <f>0</f>
        <v>0</v>
      </c>
      <c r="B1153" s="3">
        <f>1</f>
        <v>1</v>
      </c>
      <c r="C1153" s="1">
        <f>0</f>
        <v>0</v>
      </c>
      <c r="D1153" s="1">
        <f>0</f>
        <v>0</v>
      </c>
      <c r="E1153" s="1" t="s">
        <v>399</v>
      </c>
      <c r="F1153" s="1" t="s">
        <v>1438</v>
      </c>
      <c r="G1153" s="5">
        <f>1810.25</f>
        <v>1810.25</v>
      </c>
      <c r="H1153" s="7">
        <f t="shared" si="17"/>
        <v>0.7896297976471409</v>
      </c>
    </row>
    <row r="1154" spans="1:8" ht="14.25" customHeight="1">
      <c r="A1154" s="3">
        <f>3</f>
        <v>3</v>
      </c>
      <c r="B1154" s="3">
        <f>1</f>
        <v>1</v>
      </c>
      <c r="C1154" s="1">
        <f>0</f>
        <v>0</v>
      </c>
      <c r="D1154" s="1">
        <f>0</f>
        <v>0</v>
      </c>
      <c r="E1154" s="1" t="s">
        <v>1287</v>
      </c>
      <c r="F1154" s="1"/>
      <c r="G1154" s="5">
        <f>9.4896</f>
        <v>9.4896</v>
      </c>
      <c r="H1154" s="7">
        <f aca="true" t="shared" si="18" ref="H1154:H1217">SUM(100/229253*G$1:G$65536)</f>
        <v>0.004139356954979869</v>
      </c>
    </row>
    <row r="1155" spans="1:8" ht="14.25" customHeight="1">
      <c r="A1155" s="3">
        <f>0</f>
        <v>0</v>
      </c>
      <c r="B1155" s="3">
        <f>1</f>
        <v>1</v>
      </c>
      <c r="C1155" s="1">
        <f>0</f>
        <v>0</v>
      </c>
      <c r="D1155" s="1">
        <f>0</f>
        <v>0</v>
      </c>
      <c r="E1155" s="1" t="s">
        <v>1569</v>
      </c>
      <c r="F1155" s="1" t="s">
        <v>1490</v>
      </c>
      <c r="G1155" s="5">
        <f>37</f>
        <v>37</v>
      </c>
      <c r="H1155" s="7">
        <f t="shared" si="18"/>
        <v>0.016139374402952197</v>
      </c>
    </row>
    <row r="1156" spans="1:8" ht="14.25" customHeight="1">
      <c r="A1156" s="3">
        <f>3</f>
        <v>3</v>
      </c>
      <c r="B1156" s="3">
        <f>1</f>
        <v>1</v>
      </c>
      <c r="C1156" s="1">
        <f>0</f>
        <v>0</v>
      </c>
      <c r="D1156" s="1">
        <f>0</f>
        <v>0</v>
      </c>
      <c r="E1156" s="1" t="s">
        <v>830</v>
      </c>
      <c r="F1156" s="1"/>
      <c r="G1156" s="5">
        <f>8</f>
        <v>8</v>
      </c>
      <c r="H1156" s="7">
        <f t="shared" si="18"/>
        <v>0.0034895944655031776</v>
      </c>
    </row>
    <row r="1157" spans="1:8" ht="14.25" customHeight="1">
      <c r="A1157" s="3">
        <f>3</f>
        <v>3</v>
      </c>
      <c r="B1157" s="3">
        <f>1</f>
        <v>1</v>
      </c>
      <c r="C1157" s="1">
        <f>0</f>
        <v>0</v>
      </c>
      <c r="D1157" s="1">
        <f>0</f>
        <v>0</v>
      </c>
      <c r="E1157" s="1" t="s">
        <v>59</v>
      </c>
      <c r="F1157" s="1"/>
      <c r="G1157" s="5">
        <f>535.3333</f>
        <v>535.3333</v>
      </c>
      <c r="H1157" s="7">
        <f t="shared" si="18"/>
        <v>0.23351201510994404</v>
      </c>
    </row>
    <row r="1158" spans="1:8" ht="14.25" customHeight="1">
      <c r="A1158" s="3">
        <f>3</f>
        <v>3</v>
      </c>
      <c r="B1158" s="3">
        <f>1</f>
        <v>1</v>
      </c>
      <c r="C1158" s="1">
        <f>0</f>
        <v>0</v>
      </c>
      <c r="D1158" s="1">
        <f>0</f>
        <v>0</v>
      </c>
      <c r="E1158" s="1" t="s">
        <v>1060</v>
      </c>
      <c r="F1158" s="1"/>
      <c r="G1158" s="5">
        <f>0.9722</f>
        <v>0.9722</v>
      </c>
      <c r="H1158" s="7">
        <f t="shared" si="18"/>
        <v>0.00042407296742027367</v>
      </c>
    </row>
    <row r="1159" spans="1:8" ht="14.25" customHeight="1">
      <c r="A1159" s="3">
        <f>0</f>
        <v>0</v>
      </c>
      <c r="B1159" s="3">
        <f>1</f>
        <v>1</v>
      </c>
      <c r="C1159" s="1">
        <f>0</f>
        <v>0</v>
      </c>
      <c r="D1159" s="1">
        <f>0</f>
        <v>0</v>
      </c>
      <c r="E1159" s="1" t="s">
        <v>1475</v>
      </c>
      <c r="F1159" s="1" t="s">
        <v>135</v>
      </c>
      <c r="G1159" s="5">
        <f>52.5</f>
        <v>52.5</v>
      </c>
      <c r="H1159" s="7">
        <f t="shared" si="18"/>
        <v>0.0229004636798646</v>
      </c>
    </row>
    <row r="1160" spans="1:8" ht="14.25" customHeight="1">
      <c r="A1160" s="3">
        <f>3</f>
        <v>3</v>
      </c>
      <c r="B1160" s="3">
        <f>1</f>
        <v>1</v>
      </c>
      <c r="C1160" s="1">
        <f>0</f>
        <v>0</v>
      </c>
      <c r="D1160" s="1">
        <f>0</f>
        <v>0</v>
      </c>
      <c r="E1160" s="1" t="s">
        <v>207</v>
      </c>
      <c r="F1160" s="1"/>
      <c r="G1160" s="5">
        <f>145.8194</f>
        <v>145.8194</v>
      </c>
      <c r="H1160" s="7">
        <f t="shared" si="18"/>
        <v>0.06360632140037425</v>
      </c>
    </row>
    <row r="1161" spans="1:8" ht="14.25" customHeight="1">
      <c r="A1161" s="3">
        <f>3</f>
        <v>3</v>
      </c>
      <c r="B1161" s="3">
        <f>1</f>
        <v>1</v>
      </c>
      <c r="C1161" s="1">
        <f>0</f>
        <v>0</v>
      </c>
      <c r="D1161" s="1">
        <f>0</f>
        <v>0</v>
      </c>
      <c r="E1161" s="1" t="s">
        <v>131</v>
      </c>
      <c r="F1161" s="1"/>
      <c r="G1161" s="5">
        <f>16.7361</f>
        <v>16.7361</v>
      </c>
      <c r="H1161" s="7">
        <f t="shared" si="18"/>
        <v>0.007300275241763466</v>
      </c>
    </row>
    <row r="1162" spans="1:8" ht="14.25" customHeight="1">
      <c r="A1162" s="3">
        <f>3</f>
        <v>3</v>
      </c>
      <c r="B1162" s="3">
        <f>1</f>
        <v>1</v>
      </c>
      <c r="C1162" s="1">
        <f>0</f>
        <v>0</v>
      </c>
      <c r="D1162" s="1">
        <f>0</f>
        <v>0</v>
      </c>
      <c r="E1162" s="1" t="s">
        <v>208</v>
      </c>
      <c r="F1162" s="1"/>
      <c r="G1162" s="5">
        <f>479.25</f>
        <v>479.25</v>
      </c>
      <c r="H1162" s="7">
        <f t="shared" si="18"/>
        <v>0.20904851844904973</v>
      </c>
    </row>
    <row r="1163" spans="1:8" ht="14.25" customHeight="1">
      <c r="A1163" s="3">
        <f>3</f>
        <v>3</v>
      </c>
      <c r="B1163" s="3">
        <f>1</f>
        <v>1</v>
      </c>
      <c r="C1163" s="1">
        <f>0</f>
        <v>0</v>
      </c>
      <c r="D1163" s="1">
        <f>0</f>
        <v>0</v>
      </c>
      <c r="E1163" s="1" t="s">
        <v>182</v>
      </c>
      <c r="F1163" s="1"/>
      <c r="G1163" s="5">
        <f>136.3333</f>
        <v>136.3333</v>
      </c>
      <c r="H1163" s="7">
        <f t="shared" si="18"/>
        <v>0.05946849114297305</v>
      </c>
    </row>
    <row r="1164" spans="1:8" ht="14.25" customHeight="1">
      <c r="A1164" s="3">
        <f>3</f>
        <v>3</v>
      </c>
      <c r="B1164" s="3">
        <f>1</f>
        <v>1</v>
      </c>
      <c r="C1164" s="1">
        <f>0</f>
        <v>0</v>
      </c>
      <c r="D1164" s="1">
        <f>0</f>
        <v>0</v>
      </c>
      <c r="E1164" s="1" t="s">
        <v>317</v>
      </c>
      <c r="F1164" s="1"/>
      <c r="G1164" s="5">
        <f>10.9306</f>
        <v>10.9306</v>
      </c>
      <c r="H1164" s="7">
        <f t="shared" si="18"/>
        <v>0.004767920158078629</v>
      </c>
    </row>
    <row r="1165" spans="1:8" ht="14.25" customHeight="1">
      <c r="A1165" s="3">
        <f>0</f>
        <v>0</v>
      </c>
      <c r="B1165" s="3">
        <f>1</f>
        <v>1</v>
      </c>
      <c r="C1165" s="1">
        <f>0</f>
        <v>0</v>
      </c>
      <c r="D1165" s="1">
        <f>0</f>
        <v>0</v>
      </c>
      <c r="E1165" s="1" t="s">
        <v>457</v>
      </c>
      <c r="F1165" s="1" t="s">
        <v>475</v>
      </c>
      <c r="G1165" s="5">
        <f>16.5833</f>
        <v>16.5833</v>
      </c>
      <c r="H1165" s="7">
        <f t="shared" si="18"/>
        <v>0.007233623987472356</v>
      </c>
    </row>
    <row r="1166" spans="1:8" ht="14.25" customHeight="1">
      <c r="A1166" s="3">
        <f>0</f>
        <v>0</v>
      </c>
      <c r="B1166" s="3">
        <f>1</f>
        <v>1</v>
      </c>
      <c r="C1166" s="1">
        <f>0</f>
        <v>0</v>
      </c>
      <c r="D1166" s="1">
        <f>0</f>
        <v>0</v>
      </c>
      <c r="E1166" s="1" t="s">
        <v>367</v>
      </c>
      <c r="F1166" s="1" t="s">
        <v>67</v>
      </c>
      <c r="G1166" s="5">
        <f>80.1333</f>
        <v>80.1333</v>
      </c>
      <c r="H1166" s="7">
        <f t="shared" si="18"/>
        <v>0.034954090022813224</v>
      </c>
    </row>
    <row r="1167" spans="1:8" ht="14.25" customHeight="1">
      <c r="A1167" s="3">
        <f>3</f>
        <v>3</v>
      </c>
      <c r="B1167" s="3">
        <f>1</f>
        <v>1</v>
      </c>
      <c r="C1167" s="1">
        <f>0</f>
        <v>0</v>
      </c>
      <c r="D1167" s="1">
        <f>0</f>
        <v>0</v>
      </c>
      <c r="E1167" s="1" t="s">
        <v>770</v>
      </c>
      <c r="F1167" s="1"/>
      <c r="G1167" s="5">
        <f>637.3125</f>
        <v>637.3125</v>
      </c>
      <c r="H1167" s="7">
        <f t="shared" si="18"/>
        <v>0.2779952715994992</v>
      </c>
    </row>
    <row r="1168" spans="1:8" ht="14.25" customHeight="1">
      <c r="A1168" s="3">
        <f>3</f>
        <v>3</v>
      </c>
      <c r="B1168" s="3">
        <f>1</f>
        <v>1</v>
      </c>
      <c r="C1168" s="1">
        <f>0</f>
        <v>0</v>
      </c>
      <c r="D1168" s="1">
        <f>0</f>
        <v>0</v>
      </c>
      <c r="E1168" s="1" t="s">
        <v>680</v>
      </c>
      <c r="F1168" s="1"/>
      <c r="G1168" s="5">
        <f>209</f>
        <v>209</v>
      </c>
      <c r="H1168" s="7">
        <f t="shared" si="18"/>
        <v>0.09116565541127052</v>
      </c>
    </row>
    <row r="1169" spans="1:8" ht="14.25" customHeight="1">
      <c r="A1169" s="3">
        <f>3</f>
        <v>3</v>
      </c>
      <c r="B1169" s="3">
        <f>1</f>
        <v>1</v>
      </c>
      <c r="C1169" s="1">
        <f>0</f>
        <v>0</v>
      </c>
      <c r="D1169" s="1">
        <f>0</f>
        <v>0</v>
      </c>
      <c r="E1169" s="1" t="s">
        <v>932</v>
      </c>
      <c r="F1169" s="1"/>
      <c r="G1169" s="5">
        <f>297.3333</f>
        <v>297.3333</v>
      </c>
      <c r="H1169" s="7">
        <f t="shared" si="18"/>
        <v>0.1296965797612245</v>
      </c>
    </row>
    <row r="1170" spans="1:8" ht="14.25" customHeight="1">
      <c r="A1170" s="3">
        <f>3</f>
        <v>3</v>
      </c>
      <c r="B1170" s="3">
        <f>1</f>
        <v>1</v>
      </c>
      <c r="C1170" s="1">
        <f>0</f>
        <v>0</v>
      </c>
      <c r="D1170" s="1">
        <f>0</f>
        <v>0</v>
      </c>
      <c r="E1170" s="1" t="s">
        <v>668</v>
      </c>
      <c r="F1170" s="1"/>
      <c r="G1170" s="5">
        <f>48.8125</f>
        <v>48.8125</v>
      </c>
      <c r="H1170" s="7">
        <f t="shared" si="18"/>
        <v>0.021291978730921732</v>
      </c>
    </row>
    <row r="1171" spans="1:8" ht="14.25" customHeight="1">
      <c r="A1171" s="3">
        <f>3</f>
        <v>3</v>
      </c>
      <c r="B1171" s="3">
        <f>1</f>
        <v>1</v>
      </c>
      <c r="C1171" s="1">
        <f>0</f>
        <v>0</v>
      </c>
      <c r="D1171" s="1">
        <f>0</f>
        <v>0</v>
      </c>
      <c r="E1171" s="1" t="s">
        <v>681</v>
      </c>
      <c r="F1171" s="1"/>
      <c r="G1171" s="5">
        <f>144</f>
        <v>144</v>
      </c>
      <c r="H1171" s="7">
        <f t="shared" si="18"/>
        <v>0.0628127003790572</v>
      </c>
    </row>
    <row r="1172" spans="1:8" ht="14.25" customHeight="1">
      <c r="A1172" s="3">
        <f>3</f>
        <v>3</v>
      </c>
      <c r="B1172" s="3">
        <f>1</f>
        <v>1</v>
      </c>
      <c r="C1172" s="1">
        <f>0</f>
        <v>0</v>
      </c>
      <c r="D1172" s="1">
        <f>0</f>
        <v>0</v>
      </c>
      <c r="E1172" s="1" t="s">
        <v>847</v>
      </c>
      <c r="F1172" s="1"/>
      <c r="G1172" s="5">
        <f>20.0625</f>
        <v>20.0625</v>
      </c>
      <c r="H1172" s="7">
        <f t="shared" si="18"/>
        <v>0.008751248620519687</v>
      </c>
    </row>
    <row r="1173" spans="1:8" ht="14.25" customHeight="1">
      <c r="A1173" s="3">
        <f>3</f>
        <v>3</v>
      </c>
      <c r="B1173" s="3">
        <f>1</f>
        <v>1</v>
      </c>
      <c r="C1173" s="1">
        <f>0</f>
        <v>0</v>
      </c>
      <c r="D1173" s="1">
        <f>0</f>
        <v>0</v>
      </c>
      <c r="E1173" s="1" t="s">
        <v>1022</v>
      </c>
      <c r="F1173" s="1"/>
      <c r="G1173" s="5">
        <f>223.6667</f>
        <v>223.6667</v>
      </c>
      <c r="H1173" s="7">
        <f t="shared" si="18"/>
        <v>0.09756325980466994</v>
      </c>
    </row>
    <row r="1174" spans="1:8" ht="14.25" customHeight="1">
      <c r="A1174" s="3">
        <f>3</f>
        <v>3</v>
      </c>
      <c r="B1174" s="3">
        <f>1</f>
        <v>1</v>
      </c>
      <c r="C1174" s="1">
        <f>0</f>
        <v>0</v>
      </c>
      <c r="D1174" s="1">
        <f>0</f>
        <v>0</v>
      </c>
      <c r="E1174" s="1" t="s">
        <v>1328</v>
      </c>
      <c r="F1174" s="1"/>
      <c r="G1174" s="5">
        <f>149.4</f>
        <v>149.4</v>
      </c>
      <c r="H1174" s="7">
        <f t="shared" si="18"/>
        <v>0.06516817664327185</v>
      </c>
    </row>
    <row r="1175" spans="1:8" ht="14.25" customHeight="1">
      <c r="A1175" s="3">
        <f>3</f>
        <v>3</v>
      </c>
      <c r="B1175" s="3">
        <f>1</f>
        <v>1</v>
      </c>
      <c r="C1175" s="1">
        <f>0</f>
        <v>0</v>
      </c>
      <c r="D1175" s="1">
        <f>0</f>
        <v>0</v>
      </c>
      <c r="E1175" s="1" t="s">
        <v>18</v>
      </c>
      <c r="F1175" s="1"/>
      <c r="G1175" s="5">
        <f>24.325</f>
        <v>24.325</v>
      </c>
      <c r="H1175" s="7">
        <f t="shared" si="18"/>
        <v>0.010610548171670599</v>
      </c>
    </row>
    <row r="1176" spans="1:8" ht="14.25" customHeight="1">
      <c r="A1176" s="3">
        <f>3</f>
        <v>3</v>
      </c>
      <c r="B1176" s="3">
        <f>1</f>
        <v>1</v>
      </c>
      <c r="C1176" s="1">
        <f>0</f>
        <v>0</v>
      </c>
      <c r="D1176" s="1">
        <f>0</f>
        <v>0</v>
      </c>
      <c r="E1176" s="1" t="s">
        <v>933</v>
      </c>
      <c r="F1176" s="1"/>
      <c r="G1176" s="5">
        <f>64.5278</f>
        <v>64.5278</v>
      </c>
      <c r="H1176" s="7">
        <f t="shared" si="18"/>
        <v>0.028146981718886993</v>
      </c>
    </row>
    <row r="1177" spans="1:8" ht="14.25" customHeight="1">
      <c r="A1177" s="3">
        <f>3</f>
        <v>3</v>
      </c>
      <c r="B1177" s="3">
        <f>1</f>
        <v>1</v>
      </c>
      <c r="C1177" s="1">
        <f>0</f>
        <v>0</v>
      </c>
      <c r="D1177" s="1">
        <f>0</f>
        <v>0</v>
      </c>
      <c r="E1177" s="1" t="s">
        <v>1472</v>
      </c>
      <c r="F1177" s="1"/>
      <c r="G1177" s="5">
        <f>192</f>
        <v>192</v>
      </c>
      <c r="H1177" s="7">
        <f t="shared" si="18"/>
        <v>0.08375026717207626</v>
      </c>
    </row>
    <row r="1178" spans="1:8" ht="14.25" customHeight="1">
      <c r="A1178" s="3">
        <f>3</f>
        <v>3</v>
      </c>
      <c r="B1178" s="3">
        <f>1</f>
        <v>1</v>
      </c>
      <c r="C1178" s="1">
        <f>0</f>
        <v>0</v>
      </c>
      <c r="D1178" s="1">
        <f>0</f>
        <v>0</v>
      </c>
      <c r="E1178" s="1" t="s">
        <v>934</v>
      </c>
      <c r="F1178" s="1"/>
      <c r="G1178" s="5">
        <f>53.381</f>
        <v>53.381</v>
      </c>
      <c r="H1178" s="7">
        <f t="shared" si="18"/>
        <v>0.02328475527037814</v>
      </c>
    </row>
    <row r="1179" spans="1:8" ht="14.25" customHeight="1">
      <c r="A1179" s="3">
        <f>0</f>
        <v>0</v>
      </c>
      <c r="B1179" s="3">
        <f>1</f>
        <v>1</v>
      </c>
      <c r="C1179" s="1">
        <f>0</f>
        <v>0</v>
      </c>
      <c r="D1179" s="1">
        <f>0</f>
        <v>0</v>
      </c>
      <c r="E1179" s="1" t="s">
        <v>456</v>
      </c>
      <c r="F1179" s="1" t="s">
        <v>411</v>
      </c>
      <c r="G1179" s="5">
        <f>60.025</f>
        <v>60.025</v>
      </c>
      <c r="H1179" s="7">
        <f t="shared" si="18"/>
        <v>0.026182863473978527</v>
      </c>
    </row>
    <row r="1180" spans="1:8" ht="14.25" customHeight="1">
      <c r="A1180" s="3">
        <f>0</f>
        <v>0</v>
      </c>
      <c r="B1180" s="3">
        <f>1</f>
        <v>1</v>
      </c>
      <c r="C1180" s="1">
        <f>0</f>
        <v>0</v>
      </c>
      <c r="D1180" s="1">
        <f>0</f>
        <v>0</v>
      </c>
      <c r="E1180" s="1" t="s">
        <v>400</v>
      </c>
      <c r="F1180" s="1" t="s">
        <v>831</v>
      </c>
      <c r="G1180" s="5">
        <f>37</f>
        <v>37</v>
      </c>
      <c r="H1180" s="7">
        <f t="shared" si="18"/>
        <v>0.016139374402952197</v>
      </c>
    </row>
    <row r="1181" spans="1:8" ht="14.25" customHeight="1">
      <c r="A1181" s="3">
        <f>0</f>
        <v>0</v>
      </c>
      <c r="B1181" s="3">
        <f>1</f>
        <v>1</v>
      </c>
      <c r="C1181" s="1">
        <f>0</f>
        <v>0</v>
      </c>
      <c r="D1181" s="1">
        <f>0</f>
        <v>0</v>
      </c>
      <c r="E1181" s="1" t="s">
        <v>1039</v>
      </c>
      <c r="F1181" s="1" t="s">
        <v>94</v>
      </c>
      <c r="G1181" s="5">
        <f>13.0556</f>
        <v>13.0556</v>
      </c>
      <c r="H1181" s="7">
        <f t="shared" si="18"/>
        <v>0.0056948436879779105</v>
      </c>
    </row>
    <row r="1182" spans="1:8" ht="14.25" customHeight="1">
      <c r="A1182" s="3">
        <f>0</f>
        <v>0</v>
      </c>
      <c r="B1182" s="3">
        <f>1</f>
        <v>1</v>
      </c>
      <c r="C1182" s="1">
        <f>0</f>
        <v>0</v>
      </c>
      <c r="D1182" s="1">
        <f>0</f>
        <v>0</v>
      </c>
      <c r="E1182" s="1" t="s">
        <v>848</v>
      </c>
      <c r="F1182" s="1" t="s">
        <v>911</v>
      </c>
      <c r="G1182" s="5">
        <f>146</f>
        <v>146</v>
      </c>
      <c r="H1182" s="7">
        <f t="shared" si="18"/>
        <v>0.063685098995433</v>
      </c>
    </row>
    <row r="1183" spans="1:8" ht="14.25" customHeight="1">
      <c r="A1183" s="3">
        <f>3</f>
        <v>3</v>
      </c>
      <c r="B1183" s="3">
        <f>1</f>
        <v>1</v>
      </c>
      <c r="C1183" s="1">
        <f>0</f>
        <v>0</v>
      </c>
      <c r="D1183" s="1">
        <f>0</f>
        <v>0</v>
      </c>
      <c r="E1183" s="1" t="s">
        <v>1179</v>
      </c>
      <c r="F1183" s="1"/>
      <c r="G1183" s="5">
        <f>5.4688</f>
        <v>5.4688</v>
      </c>
      <c r="H1183" s="7">
        <f t="shared" si="18"/>
        <v>0.0023854867766179722</v>
      </c>
    </row>
    <row r="1184" spans="1:8" ht="14.25" customHeight="1">
      <c r="A1184" s="3">
        <f>0</f>
        <v>0</v>
      </c>
      <c r="B1184" s="3">
        <f>1</f>
        <v>1</v>
      </c>
      <c r="C1184" s="1">
        <f>0</f>
        <v>0</v>
      </c>
      <c r="D1184" s="1">
        <f>0</f>
        <v>0</v>
      </c>
      <c r="E1184" s="1" t="s">
        <v>1374</v>
      </c>
      <c r="F1184" s="1" t="s">
        <v>1574</v>
      </c>
      <c r="G1184" s="5">
        <f>1.1111</f>
        <v>1.1111</v>
      </c>
      <c r="H1184" s="7">
        <f t="shared" si="18"/>
        <v>0.00048466105132757256</v>
      </c>
    </row>
    <row r="1185" spans="1:8" ht="14.25" customHeight="1">
      <c r="A1185" s="3">
        <f>3</f>
        <v>3</v>
      </c>
      <c r="B1185" s="3">
        <f>1</f>
        <v>1</v>
      </c>
      <c r="C1185" s="1">
        <f>0</f>
        <v>0</v>
      </c>
      <c r="D1185" s="1">
        <f>0</f>
        <v>0</v>
      </c>
      <c r="E1185" s="1" t="s">
        <v>716</v>
      </c>
      <c r="F1185" s="1"/>
      <c r="G1185" s="5">
        <f>6.2639</f>
        <v>6.2639</v>
      </c>
      <c r="H1185" s="7">
        <f t="shared" si="18"/>
        <v>0.002732308846558169</v>
      </c>
    </row>
    <row r="1186" spans="1:8" ht="14.25" customHeight="1">
      <c r="A1186" s="3">
        <f>3</f>
        <v>3</v>
      </c>
      <c r="B1186" s="3">
        <f>1</f>
        <v>1</v>
      </c>
      <c r="C1186" s="1">
        <f>0</f>
        <v>0</v>
      </c>
      <c r="D1186" s="1">
        <f>0</f>
        <v>0</v>
      </c>
      <c r="E1186" s="1" t="s">
        <v>1023</v>
      </c>
      <c r="F1186" s="1"/>
      <c r="G1186" s="5">
        <f>11.9444</f>
        <v>11.9444</v>
      </c>
      <c r="H1186" s="7">
        <f t="shared" si="18"/>
        <v>0.005210139016719519</v>
      </c>
    </row>
    <row r="1187" spans="1:8" ht="14.25" customHeight="1">
      <c r="A1187" s="3">
        <f>3</f>
        <v>3</v>
      </c>
      <c r="B1187" s="3">
        <f>1</f>
        <v>1</v>
      </c>
      <c r="C1187" s="1">
        <f>0</f>
        <v>0</v>
      </c>
      <c r="D1187" s="1">
        <f>0</f>
        <v>0</v>
      </c>
      <c r="E1187" s="1" t="s">
        <v>935</v>
      </c>
      <c r="F1187" s="1"/>
      <c r="G1187" s="5">
        <f>16.9469</f>
        <v>16.9469</v>
      </c>
      <c r="H1187" s="7">
        <f t="shared" si="18"/>
        <v>0.007392226055929475</v>
      </c>
    </row>
    <row r="1188" spans="1:8" ht="14.25" customHeight="1">
      <c r="A1188" s="3">
        <f>3</f>
        <v>3</v>
      </c>
      <c r="B1188" s="3">
        <f>1</f>
        <v>1</v>
      </c>
      <c r="C1188" s="1">
        <f>0</f>
        <v>0</v>
      </c>
      <c r="D1188" s="1">
        <f>0</f>
        <v>0</v>
      </c>
      <c r="E1188" s="1" t="s">
        <v>729</v>
      </c>
      <c r="F1188" s="1"/>
      <c r="G1188" s="5">
        <f>41</f>
        <v>41</v>
      </c>
      <c r="H1188" s="7">
        <f t="shared" si="18"/>
        <v>0.017884171635703786</v>
      </c>
    </row>
    <row r="1189" spans="1:8" ht="14.25" customHeight="1">
      <c r="A1189" s="3">
        <f>3</f>
        <v>3</v>
      </c>
      <c r="B1189" s="3">
        <f>1</f>
        <v>1</v>
      </c>
      <c r="C1189" s="1">
        <f>0</f>
        <v>0</v>
      </c>
      <c r="D1189" s="1">
        <f>0</f>
        <v>0</v>
      </c>
      <c r="E1189" s="1" t="s">
        <v>1165</v>
      </c>
      <c r="F1189" s="1"/>
      <c r="G1189" s="5">
        <f>27.3333</f>
        <v>27.3333</v>
      </c>
      <c r="H1189" s="7">
        <f t="shared" si="18"/>
        <v>0.01192276655049225</v>
      </c>
    </row>
    <row r="1190" spans="1:8" ht="14.25" customHeight="1">
      <c r="A1190" s="3">
        <f>3</f>
        <v>3</v>
      </c>
      <c r="B1190" s="3">
        <f>1</f>
        <v>1</v>
      </c>
      <c r="C1190" s="1">
        <f>0</f>
        <v>0</v>
      </c>
      <c r="D1190" s="1">
        <f>0</f>
        <v>0</v>
      </c>
      <c r="E1190" s="1" t="s">
        <v>669</v>
      </c>
      <c r="F1190" s="1"/>
      <c r="G1190" s="5">
        <f>0.5078</f>
        <v>0.5078</v>
      </c>
      <c r="H1190" s="7">
        <f t="shared" si="18"/>
        <v>0.00022150200869781422</v>
      </c>
    </row>
    <row r="1191" spans="1:8" ht="14.25" customHeight="1">
      <c r="A1191" s="3">
        <f>3</f>
        <v>3</v>
      </c>
      <c r="B1191" s="3">
        <f>1</f>
        <v>1</v>
      </c>
      <c r="C1191" s="1">
        <f>0</f>
        <v>0</v>
      </c>
      <c r="D1191" s="1">
        <f>0</f>
        <v>0</v>
      </c>
      <c r="E1191" s="1" t="s">
        <v>873</v>
      </c>
      <c r="F1191" s="1"/>
      <c r="G1191" s="5">
        <f>901.1569</f>
        <v>901.1569</v>
      </c>
      <c r="H1191" s="7">
        <f t="shared" si="18"/>
        <v>0.39308401634875006</v>
      </c>
    </row>
    <row r="1192" spans="1:8" ht="14.25" customHeight="1">
      <c r="A1192" s="3">
        <f>3</f>
        <v>3</v>
      </c>
      <c r="B1192" s="3">
        <f>1</f>
        <v>1</v>
      </c>
      <c r="C1192" s="1">
        <f>0</f>
        <v>0</v>
      </c>
      <c r="D1192" s="1">
        <f>0</f>
        <v>0</v>
      </c>
      <c r="E1192" s="1" t="s">
        <v>1125</v>
      </c>
      <c r="F1192" s="1"/>
      <c r="G1192" s="5">
        <f>94.8333</f>
        <v>94.8333</v>
      </c>
      <c r="H1192" s="7">
        <f t="shared" si="18"/>
        <v>0.04136621985317531</v>
      </c>
    </row>
    <row r="1193" spans="1:8" ht="14.25" customHeight="1">
      <c r="A1193" s="3">
        <f>3</f>
        <v>3</v>
      </c>
      <c r="B1193" s="3">
        <f>1</f>
        <v>1</v>
      </c>
      <c r="C1193" s="1">
        <f>0</f>
        <v>0</v>
      </c>
      <c r="D1193" s="1">
        <f>0</f>
        <v>0</v>
      </c>
      <c r="E1193" s="1" t="s">
        <v>771</v>
      </c>
      <c r="F1193" s="1"/>
      <c r="G1193" s="5">
        <f>235.3333</f>
        <v>235.3333</v>
      </c>
      <c r="H1193" s="7">
        <f t="shared" si="18"/>
        <v>0.10265222265357488</v>
      </c>
    </row>
    <row r="1194" spans="1:8" ht="14.25" customHeight="1">
      <c r="A1194" s="3">
        <f>3</f>
        <v>3</v>
      </c>
      <c r="B1194" s="3">
        <f>1</f>
        <v>1</v>
      </c>
      <c r="C1194" s="1">
        <f>0</f>
        <v>0</v>
      </c>
      <c r="D1194" s="1">
        <f>0</f>
        <v>0</v>
      </c>
      <c r="E1194" s="1" t="s">
        <v>285</v>
      </c>
      <c r="F1194" s="1"/>
      <c r="G1194" s="5">
        <f>15.375</f>
        <v>15.375</v>
      </c>
      <c r="H1194" s="7">
        <f t="shared" si="18"/>
        <v>0.00670656436338892</v>
      </c>
    </row>
    <row r="1195" spans="1:8" ht="14.25" customHeight="1">
      <c r="A1195" s="3">
        <f>0</f>
        <v>0</v>
      </c>
      <c r="B1195" s="3">
        <f>1</f>
        <v>1</v>
      </c>
      <c r="C1195" s="1">
        <f>0</f>
        <v>0</v>
      </c>
      <c r="D1195" s="1">
        <f>0</f>
        <v>0</v>
      </c>
      <c r="E1195" s="1" t="s">
        <v>874</v>
      </c>
      <c r="F1195" s="1" t="s">
        <v>1442</v>
      </c>
      <c r="G1195" s="5">
        <f>17.1458</f>
        <v>17.1458</v>
      </c>
      <c r="H1195" s="7">
        <f t="shared" si="18"/>
        <v>0.007478986098328049</v>
      </c>
    </row>
    <row r="1196" spans="1:8" ht="14.25" customHeight="1">
      <c r="A1196" s="3">
        <f>3</f>
        <v>3</v>
      </c>
      <c r="B1196" s="3">
        <f>1</f>
        <v>1</v>
      </c>
      <c r="C1196" s="1">
        <f>0</f>
        <v>0</v>
      </c>
      <c r="D1196" s="1">
        <f>0</f>
        <v>0</v>
      </c>
      <c r="E1196" s="1" t="s">
        <v>181</v>
      </c>
      <c r="F1196" s="1"/>
      <c r="G1196" s="5">
        <f>272.25</f>
        <v>272.25</v>
      </c>
      <c r="H1196" s="7">
        <f t="shared" si="18"/>
        <v>0.11875526165415501</v>
      </c>
    </row>
    <row r="1197" spans="1:8" ht="14.25" customHeight="1">
      <c r="A1197" s="3">
        <f>3</f>
        <v>3</v>
      </c>
      <c r="B1197" s="3">
        <f>1</f>
        <v>1</v>
      </c>
      <c r="C1197" s="1">
        <f>0</f>
        <v>0</v>
      </c>
      <c r="D1197" s="1">
        <f>0</f>
        <v>0</v>
      </c>
      <c r="E1197" s="1" t="s">
        <v>875</v>
      </c>
      <c r="F1197" s="1"/>
      <c r="G1197" s="5">
        <f>418.5</f>
        <v>418.5</v>
      </c>
      <c r="H1197" s="7">
        <f t="shared" si="18"/>
        <v>0.18254941047663498</v>
      </c>
    </row>
    <row r="1198" spans="1:8" ht="14.25" customHeight="1">
      <c r="A1198" s="3">
        <f>3</f>
        <v>3</v>
      </c>
      <c r="B1198" s="3">
        <f>1</f>
        <v>1</v>
      </c>
      <c r="C1198" s="1">
        <f>0</f>
        <v>0</v>
      </c>
      <c r="D1198" s="1">
        <f>0</f>
        <v>0</v>
      </c>
      <c r="E1198" s="1" t="s">
        <v>644</v>
      </c>
      <c r="F1198" s="1"/>
      <c r="G1198" s="5">
        <f>235.3333</f>
        <v>235.3333</v>
      </c>
      <c r="H1198" s="7">
        <f t="shared" si="18"/>
        <v>0.10265222265357488</v>
      </c>
    </row>
    <row r="1199" spans="1:8" ht="14.25" customHeight="1">
      <c r="A1199" s="3">
        <f>3</f>
        <v>3</v>
      </c>
      <c r="B1199" s="3">
        <f>1</f>
        <v>1</v>
      </c>
      <c r="C1199" s="1">
        <f>0</f>
        <v>0</v>
      </c>
      <c r="D1199" s="1">
        <f>0</f>
        <v>0</v>
      </c>
      <c r="E1199" s="1" t="s">
        <v>974</v>
      </c>
      <c r="F1199" s="1"/>
      <c r="G1199" s="5">
        <f>888.7938</f>
        <v>888.7938</v>
      </c>
      <c r="H1199" s="7">
        <f t="shared" si="18"/>
        <v>0.3876912406816923</v>
      </c>
    </row>
    <row r="1200" spans="1:8" ht="14.25" customHeight="1">
      <c r="A1200" s="3">
        <f>0</f>
        <v>0</v>
      </c>
      <c r="B1200" s="3">
        <f>1</f>
        <v>1</v>
      </c>
      <c r="C1200" s="1">
        <f>0</f>
        <v>0</v>
      </c>
      <c r="D1200" s="1">
        <f>0</f>
        <v>0</v>
      </c>
      <c r="E1200" s="1" t="s">
        <v>1180</v>
      </c>
      <c r="F1200" s="1" t="s">
        <v>320</v>
      </c>
      <c r="G1200" s="5">
        <f>455.3333</f>
        <v>455.3333</v>
      </c>
      <c r="H1200" s="7">
        <f t="shared" si="18"/>
        <v>0.19861607045491225</v>
      </c>
    </row>
    <row r="1201" spans="1:8" ht="14.25" customHeight="1">
      <c r="A1201" s="3">
        <f>3</f>
        <v>3</v>
      </c>
      <c r="B1201" s="3">
        <f>1</f>
        <v>1</v>
      </c>
      <c r="C1201" s="1">
        <f>0</f>
        <v>0</v>
      </c>
      <c r="D1201" s="1">
        <f>0</f>
        <v>0</v>
      </c>
      <c r="E1201" s="1" t="s">
        <v>1167</v>
      </c>
      <c r="F1201" s="1"/>
      <c r="G1201" s="5">
        <f>235.3333</f>
        <v>235.3333</v>
      </c>
      <c r="H1201" s="7">
        <f t="shared" si="18"/>
        <v>0.10265222265357488</v>
      </c>
    </row>
    <row r="1202" spans="1:8" ht="14.25" customHeight="1">
      <c r="A1202" s="3">
        <f>3</f>
        <v>3</v>
      </c>
      <c r="B1202" s="3">
        <f>1</f>
        <v>1</v>
      </c>
      <c r="C1202" s="1">
        <f>0</f>
        <v>0</v>
      </c>
      <c r="D1202" s="1">
        <f>0</f>
        <v>0</v>
      </c>
      <c r="E1202" s="1" t="s">
        <v>1166</v>
      </c>
      <c r="F1202" s="1"/>
      <c r="G1202" s="5">
        <f>445.1667</f>
        <v>445.1667</v>
      </c>
      <c r="H1202" s="7">
        <f t="shared" si="18"/>
        <v>0.19418140656828917</v>
      </c>
    </row>
    <row r="1203" spans="1:8" ht="14.25" customHeight="1">
      <c r="A1203" s="3">
        <f>3</f>
        <v>3</v>
      </c>
      <c r="B1203" s="3">
        <f>1</f>
        <v>1</v>
      </c>
      <c r="C1203" s="1">
        <f>0</f>
        <v>0</v>
      </c>
      <c r="D1203" s="1">
        <f>0</f>
        <v>0</v>
      </c>
      <c r="E1203" s="1" t="s">
        <v>204</v>
      </c>
      <c r="F1203" s="1"/>
      <c r="G1203" s="5">
        <f>117.5729</f>
        <v>117.5729</v>
      </c>
      <c r="H1203" s="7">
        <f t="shared" si="18"/>
        <v>0.05128521764164482</v>
      </c>
    </row>
    <row r="1204" spans="1:8" ht="14.25" customHeight="1">
      <c r="A1204" s="3">
        <f>0</f>
        <v>0</v>
      </c>
      <c r="B1204" s="3">
        <f>1</f>
        <v>1</v>
      </c>
      <c r="C1204" s="1">
        <f>0</f>
        <v>0</v>
      </c>
      <c r="D1204" s="1">
        <f>0</f>
        <v>0</v>
      </c>
      <c r="E1204" s="1" t="s">
        <v>1477</v>
      </c>
      <c r="F1204" s="1" t="s">
        <v>261</v>
      </c>
      <c r="G1204" s="5">
        <f>23.65</f>
        <v>23.65</v>
      </c>
      <c r="H1204" s="7">
        <f t="shared" si="18"/>
        <v>0.010316113638643768</v>
      </c>
    </row>
    <row r="1205" spans="1:8" ht="14.25" customHeight="1">
      <c r="A1205" s="3">
        <f>3</f>
        <v>3</v>
      </c>
      <c r="B1205" s="3">
        <f>1</f>
        <v>1</v>
      </c>
      <c r="C1205" s="1">
        <f>0</f>
        <v>0</v>
      </c>
      <c r="D1205" s="1">
        <f>0</f>
        <v>0</v>
      </c>
      <c r="E1205" s="1" t="s">
        <v>1024</v>
      </c>
      <c r="F1205" s="1"/>
      <c r="G1205" s="5">
        <f>234.5</f>
        <v>234.5</v>
      </c>
      <c r="H1205" s="7">
        <f t="shared" si="18"/>
        <v>0.1022887377700619</v>
      </c>
    </row>
    <row r="1206" spans="1:8" ht="14.25" customHeight="1">
      <c r="A1206" s="3">
        <f>3</f>
        <v>3</v>
      </c>
      <c r="B1206" s="3">
        <f>1</f>
        <v>1</v>
      </c>
      <c r="C1206" s="1">
        <f>0</f>
        <v>0</v>
      </c>
      <c r="D1206" s="1">
        <f>0</f>
        <v>0</v>
      </c>
      <c r="E1206" s="1" t="s">
        <v>19</v>
      </c>
      <c r="F1206" s="1"/>
      <c r="G1206" s="5">
        <f>113</f>
        <v>113</v>
      </c>
      <c r="H1206" s="7">
        <f t="shared" si="18"/>
        <v>0.049290521825232386</v>
      </c>
    </row>
    <row r="1207" spans="1:8" ht="14.25" customHeight="1">
      <c r="A1207" s="3">
        <f>3</f>
        <v>3</v>
      </c>
      <c r="B1207" s="3">
        <f>1</f>
        <v>1</v>
      </c>
      <c r="C1207" s="1">
        <f>0</f>
        <v>0</v>
      </c>
      <c r="D1207" s="1">
        <f>0</f>
        <v>0</v>
      </c>
      <c r="E1207" s="1" t="s">
        <v>485</v>
      </c>
      <c r="F1207" s="1"/>
      <c r="G1207" s="5">
        <f>272.25</f>
        <v>272.25</v>
      </c>
      <c r="H1207" s="7">
        <f t="shared" si="18"/>
        <v>0.11875526165415501</v>
      </c>
    </row>
    <row r="1208" spans="1:8" ht="14.25" customHeight="1">
      <c r="A1208" s="3">
        <f>3</f>
        <v>3</v>
      </c>
      <c r="B1208" s="3">
        <f>1</f>
        <v>1</v>
      </c>
      <c r="C1208" s="1">
        <f>0</f>
        <v>0</v>
      </c>
      <c r="D1208" s="1">
        <f>0</f>
        <v>0</v>
      </c>
      <c r="E1208" s="1" t="s">
        <v>128</v>
      </c>
      <c r="F1208" s="1"/>
      <c r="G1208" s="5">
        <f>233.5</f>
        <v>233.5</v>
      </c>
      <c r="H1208" s="7">
        <f t="shared" si="18"/>
        <v>0.10185253846187399</v>
      </c>
    </row>
    <row r="1209" spans="1:8" ht="14.25" customHeight="1">
      <c r="A1209" s="3">
        <f>3</f>
        <v>3</v>
      </c>
      <c r="B1209" s="3">
        <f>1</f>
        <v>1</v>
      </c>
      <c r="C1209" s="1">
        <f>0</f>
        <v>0</v>
      </c>
      <c r="D1209" s="1">
        <f>0</f>
        <v>0</v>
      </c>
      <c r="E1209" s="1" t="s">
        <v>484</v>
      </c>
      <c r="F1209" s="1"/>
      <c r="G1209" s="5">
        <f>363.1597</f>
        <v>363.1597</v>
      </c>
      <c r="H1209" s="7">
        <f t="shared" si="18"/>
        <v>0.1584100099017243</v>
      </c>
    </row>
    <row r="1210" spans="1:8" ht="14.25" customHeight="1">
      <c r="A1210" s="3">
        <f>3</f>
        <v>3</v>
      </c>
      <c r="B1210" s="3">
        <f>1</f>
        <v>1</v>
      </c>
      <c r="C1210" s="1">
        <f>0</f>
        <v>0</v>
      </c>
      <c r="D1210" s="1">
        <f>0</f>
        <v>0</v>
      </c>
      <c r="E1210" s="1" t="s">
        <v>936</v>
      </c>
      <c r="F1210" s="1"/>
      <c r="G1210" s="5">
        <f>17.9375</f>
        <v>17.9375</v>
      </c>
      <c r="H1210" s="7">
        <f t="shared" si="18"/>
        <v>0.007824325090620405</v>
      </c>
    </row>
    <row r="1211" spans="1:8" ht="14.25" customHeight="1">
      <c r="A1211" s="3">
        <f>3</f>
        <v>3</v>
      </c>
      <c r="B1211" s="3">
        <f>1</f>
        <v>1</v>
      </c>
      <c r="C1211" s="1">
        <f>0</f>
        <v>0</v>
      </c>
      <c r="D1211" s="1">
        <f>0</f>
        <v>0</v>
      </c>
      <c r="E1211" s="1" t="s">
        <v>396</v>
      </c>
      <c r="F1211" s="1"/>
      <c r="G1211" s="5">
        <f>37</f>
        <v>37</v>
      </c>
      <c r="H1211" s="7">
        <f t="shared" si="18"/>
        <v>0.016139374402952197</v>
      </c>
    </row>
    <row r="1212" spans="1:8" ht="14.25" customHeight="1">
      <c r="A1212" s="3">
        <f>3</f>
        <v>3</v>
      </c>
      <c r="B1212" s="3">
        <f>1</f>
        <v>1</v>
      </c>
      <c r="C1212" s="1">
        <f>0</f>
        <v>0</v>
      </c>
      <c r="D1212" s="1">
        <f>0</f>
        <v>0</v>
      </c>
      <c r="E1212" s="1" t="s">
        <v>772</v>
      </c>
      <c r="F1212" s="1"/>
      <c r="G1212" s="5">
        <f>418.5</f>
        <v>418.5</v>
      </c>
      <c r="H1212" s="7">
        <f t="shared" si="18"/>
        <v>0.18254941047663498</v>
      </c>
    </row>
    <row r="1213" spans="1:8" ht="14.25" customHeight="1">
      <c r="A1213" s="3">
        <f>3</f>
        <v>3</v>
      </c>
      <c r="B1213" s="3">
        <f>1</f>
        <v>1</v>
      </c>
      <c r="C1213" s="1">
        <f>0</f>
        <v>0</v>
      </c>
      <c r="D1213" s="1">
        <f>0</f>
        <v>0</v>
      </c>
      <c r="E1213" s="1" t="s">
        <v>907</v>
      </c>
      <c r="F1213" s="1"/>
      <c r="G1213" s="5">
        <f>17.1458</f>
        <v>17.1458</v>
      </c>
      <c r="H1213" s="7">
        <f t="shared" si="18"/>
        <v>0.007478986098328049</v>
      </c>
    </row>
    <row r="1214" spans="1:8" ht="14.25" customHeight="1">
      <c r="A1214" s="3">
        <f>3</f>
        <v>3</v>
      </c>
      <c r="B1214" s="3">
        <f>1</f>
        <v>1</v>
      </c>
      <c r="C1214" s="1">
        <f>0</f>
        <v>0</v>
      </c>
      <c r="D1214" s="1">
        <f>0</f>
        <v>0</v>
      </c>
      <c r="E1214" s="1" t="s">
        <v>1181</v>
      </c>
      <c r="F1214" s="1"/>
      <c r="G1214" s="5">
        <f>111</f>
        <v>111</v>
      </c>
      <c r="H1214" s="7">
        <f t="shared" si="18"/>
        <v>0.04841812320885659</v>
      </c>
    </row>
    <row r="1215" spans="1:8" ht="14.25" customHeight="1">
      <c r="A1215" s="3">
        <f>3</f>
        <v>3</v>
      </c>
      <c r="B1215" s="3">
        <f>1</f>
        <v>1</v>
      </c>
      <c r="C1215" s="1">
        <f>0</f>
        <v>0</v>
      </c>
      <c r="D1215" s="1">
        <f>0</f>
        <v>0</v>
      </c>
      <c r="E1215" s="1" t="s">
        <v>937</v>
      </c>
      <c r="F1215" s="1"/>
      <c r="G1215" s="5">
        <f>17.1458</f>
        <v>17.1458</v>
      </c>
      <c r="H1215" s="7">
        <f t="shared" si="18"/>
        <v>0.007478986098328049</v>
      </c>
    </row>
    <row r="1216" spans="1:8" ht="14.25" customHeight="1">
      <c r="A1216" s="3">
        <f>3</f>
        <v>3</v>
      </c>
      <c r="B1216" s="3">
        <f>1</f>
        <v>1</v>
      </c>
      <c r="C1216" s="1">
        <f>0</f>
        <v>0</v>
      </c>
      <c r="D1216" s="1">
        <f>0</f>
        <v>0</v>
      </c>
      <c r="E1216" s="1" t="s">
        <v>908</v>
      </c>
      <c r="F1216" s="1"/>
      <c r="G1216" s="5">
        <f>39.1875</f>
        <v>39.1875</v>
      </c>
      <c r="H1216" s="7">
        <f t="shared" si="18"/>
        <v>0.01709356038961322</v>
      </c>
    </row>
    <row r="1217" spans="1:8" ht="14.25" customHeight="1">
      <c r="A1217" s="3">
        <f>3</f>
        <v>3</v>
      </c>
      <c r="B1217" s="3">
        <f>1</f>
        <v>1</v>
      </c>
      <c r="C1217" s="1">
        <f>0</f>
        <v>0</v>
      </c>
      <c r="D1217" s="1">
        <f>0</f>
        <v>0</v>
      </c>
      <c r="E1217" s="1" t="s">
        <v>975</v>
      </c>
      <c r="F1217" s="1"/>
      <c r="G1217" s="5">
        <f>148.6778</f>
        <v>148.6778</v>
      </c>
      <c r="H1217" s="7">
        <f t="shared" si="18"/>
        <v>0.06485315350289854</v>
      </c>
    </row>
    <row r="1218" spans="1:8" ht="14.25" customHeight="1">
      <c r="A1218" s="3">
        <f>3</f>
        <v>3</v>
      </c>
      <c r="B1218" s="3">
        <f>1</f>
        <v>1</v>
      </c>
      <c r="C1218" s="1">
        <f>0</f>
        <v>0</v>
      </c>
      <c r="D1218" s="1">
        <f>0</f>
        <v>0</v>
      </c>
      <c r="E1218" s="1" t="s">
        <v>1560</v>
      </c>
      <c r="F1218" s="1"/>
      <c r="G1218" s="5">
        <f>107.1667</f>
        <v>107.1667</v>
      </c>
      <c r="H1218" s="7">
        <f aca="true" t="shared" si="19" ref="H1218:H1257">SUM(100/229253*G$1:G$65536)</f>
        <v>0.046746040400779926</v>
      </c>
    </row>
    <row r="1219" spans="1:8" ht="14.25" customHeight="1">
      <c r="A1219" s="3">
        <f>3</f>
        <v>3</v>
      </c>
      <c r="B1219" s="3">
        <f>1</f>
        <v>1</v>
      </c>
      <c r="C1219" s="1">
        <f>0</f>
        <v>0</v>
      </c>
      <c r="D1219" s="1">
        <f>0</f>
        <v>0</v>
      </c>
      <c r="E1219" s="1" t="s">
        <v>492</v>
      </c>
      <c r="F1219" s="1"/>
      <c r="G1219" s="5">
        <f>22.75</f>
        <v>22.75</v>
      </c>
      <c r="H1219" s="7">
        <f t="shared" si="19"/>
        <v>0.009923534261274661</v>
      </c>
    </row>
    <row r="1220" spans="1:8" ht="14.25" customHeight="1">
      <c r="A1220" s="3">
        <f>3</f>
        <v>3</v>
      </c>
      <c r="B1220" s="3">
        <f>1</f>
        <v>1</v>
      </c>
      <c r="C1220" s="1">
        <f>0</f>
        <v>0</v>
      </c>
      <c r="D1220" s="1">
        <f>0</f>
        <v>0</v>
      </c>
      <c r="E1220" s="1" t="s">
        <v>493</v>
      </c>
      <c r="F1220" s="1"/>
      <c r="G1220" s="5">
        <f>54.5826</f>
        <v>54.5826</v>
      </c>
      <c r="H1220" s="7">
        <f t="shared" si="19"/>
        <v>0.023808892359096716</v>
      </c>
    </row>
    <row r="1221" spans="1:8" ht="14.25" customHeight="1">
      <c r="A1221" s="3">
        <f>3</f>
        <v>3</v>
      </c>
      <c r="B1221" s="3">
        <f>1</f>
        <v>1</v>
      </c>
      <c r="C1221" s="1">
        <f>0</f>
        <v>0</v>
      </c>
      <c r="D1221" s="1">
        <f>0</f>
        <v>0</v>
      </c>
      <c r="E1221" s="1" t="s">
        <v>232</v>
      </c>
      <c r="F1221" s="1"/>
      <c r="G1221" s="5">
        <f>746</f>
        <v>746</v>
      </c>
      <c r="H1221" s="7">
        <f t="shared" si="19"/>
        <v>0.3254046839081713</v>
      </c>
    </row>
    <row r="1222" spans="1:8" ht="14.25" customHeight="1">
      <c r="A1222" s="3">
        <f>3</f>
        <v>3</v>
      </c>
      <c r="B1222" s="3">
        <f>1</f>
        <v>1</v>
      </c>
      <c r="C1222" s="1">
        <f>0</f>
        <v>0</v>
      </c>
      <c r="D1222" s="1">
        <f>0</f>
        <v>0</v>
      </c>
      <c r="E1222" s="1" t="s">
        <v>1561</v>
      </c>
      <c r="F1222" s="1"/>
      <c r="G1222" s="5">
        <f>318.6563</f>
        <v>318.6563</v>
      </c>
      <c r="H1222" s="7">
        <f t="shared" si="19"/>
        <v>0.13899765760971503</v>
      </c>
    </row>
    <row r="1223" spans="1:8" ht="14.25" customHeight="1">
      <c r="A1223" s="3">
        <f>3</f>
        <v>3</v>
      </c>
      <c r="B1223" s="3">
        <f>1</f>
        <v>1</v>
      </c>
      <c r="C1223" s="1">
        <f>0</f>
        <v>0</v>
      </c>
      <c r="D1223" s="1">
        <f>0</f>
        <v>0</v>
      </c>
      <c r="E1223" s="1" t="s">
        <v>473</v>
      </c>
      <c r="F1223" s="1"/>
      <c r="G1223" s="5">
        <f>301.8889</f>
        <v>301.8889</v>
      </c>
      <c r="H1223" s="7">
        <f t="shared" si="19"/>
        <v>0.13168372932960526</v>
      </c>
    </row>
    <row r="1224" spans="1:8" ht="14.25" customHeight="1">
      <c r="A1224" s="3">
        <f>3</f>
        <v>3</v>
      </c>
      <c r="B1224" s="3">
        <f>1</f>
        <v>1</v>
      </c>
      <c r="C1224" s="1">
        <f>0</f>
        <v>0</v>
      </c>
      <c r="D1224" s="1">
        <f>0</f>
        <v>0</v>
      </c>
      <c r="E1224" s="1" t="s">
        <v>645</v>
      </c>
      <c r="F1224" s="1"/>
      <c r="G1224" s="5">
        <f>197.6</f>
        <v>197.6</v>
      </c>
      <c r="H1224" s="7">
        <f t="shared" si="19"/>
        <v>0.08619298329792849</v>
      </c>
    </row>
    <row r="1225" spans="1:8" ht="14.25" customHeight="1">
      <c r="A1225" s="3">
        <f>3</f>
        <v>3</v>
      </c>
      <c r="B1225" s="3">
        <f>1</f>
        <v>1</v>
      </c>
      <c r="C1225" s="1">
        <f>0</f>
        <v>0</v>
      </c>
      <c r="D1225" s="1">
        <f>0</f>
        <v>0</v>
      </c>
      <c r="E1225" s="1" t="s">
        <v>1102</v>
      </c>
      <c r="F1225" s="1"/>
      <c r="G1225" s="5">
        <f>164.0417</f>
        <v>164.0417</v>
      </c>
      <c r="H1225" s="7">
        <f t="shared" si="19"/>
        <v>0.07155487605396657</v>
      </c>
    </row>
    <row r="1226" spans="1:8" ht="14.25" customHeight="1">
      <c r="A1226" s="3">
        <f>3</f>
        <v>3</v>
      </c>
      <c r="B1226" s="3">
        <f>1</f>
        <v>1</v>
      </c>
      <c r="C1226" s="1">
        <f>0</f>
        <v>0</v>
      </c>
      <c r="D1226" s="1">
        <f>0</f>
        <v>0</v>
      </c>
      <c r="E1226" s="1" t="s">
        <v>849</v>
      </c>
      <c r="F1226" s="1"/>
      <c r="G1226" s="5">
        <f>397</f>
        <v>397</v>
      </c>
      <c r="H1226" s="7">
        <f t="shared" si="19"/>
        <v>0.1731711253505952</v>
      </c>
    </row>
    <row r="1227" spans="1:8" ht="14.25" customHeight="1">
      <c r="A1227" s="3">
        <f>3</f>
        <v>3</v>
      </c>
      <c r="B1227" s="3">
        <f>1</f>
        <v>1</v>
      </c>
      <c r="C1227" s="1">
        <f>0</f>
        <v>0</v>
      </c>
      <c r="D1227" s="1">
        <f>0</f>
        <v>0</v>
      </c>
      <c r="E1227" s="1" t="s">
        <v>625</v>
      </c>
      <c r="F1227" s="1"/>
      <c r="G1227" s="5">
        <f>192</f>
        <v>192</v>
      </c>
      <c r="H1227" s="7">
        <f t="shared" si="19"/>
        <v>0.08375026717207626</v>
      </c>
    </row>
    <row r="1228" spans="1:8" ht="14.25" customHeight="1">
      <c r="A1228" s="3">
        <f>3</f>
        <v>3</v>
      </c>
      <c r="B1228" s="3">
        <f>1</f>
        <v>1</v>
      </c>
      <c r="C1228" s="1">
        <f>0</f>
        <v>0</v>
      </c>
      <c r="D1228" s="1">
        <f>0</f>
        <v>0</v>
      </c>
      <c r="E1228" s="1" t="s">
        <v>646</v>
      </c>
      <c r="F1228" s="1"/>
      <c r="G1228" s="5">
        <f>197.6</f>
        <v>197.6</v>
      </c>
      <c r="H1228" s="7">
        <f t="shared" si="19"/>
        <v>0.08619298329792849</v>
      </c>
    </row>
    <row r="1229" spans="1:8" ht="14.25" customHeight="1">
      <c r="A1229" s="3">
        <f>3</f>
        <v>3</v>
      </c>
      <c r="B1229" s="3">
        <f>1</f>
        <v>1</v>
      </c>
      <c r="C1229" s="1">
        <f>0</f>
        <v>0</v>
      </c>
      <c r="D1229" s="1">
        <f>0</f>
        <v>0</v>
      </c>
      <c r="E1229" s="1" t="s">
        <v>682</v>
      </c>
      <c r="F1229" s="1"/>
      <c r="G1229" s="5">
        <f>17.9</f>
        <v>17.9</v>
      </c>
      <c r="H1229" s="7">
        <f t="shared" si="19"/>
        <v>0.007807967616563359</v>
      </c>
    </row>
    <row r="1230" spans="1:8" ht="14.25" customHeight="1">
      <c r="A1230" s="3">
        <f>3</f>
        <v>3</v>
      </c>
      <c r="B1230" s="3">
        <f>1</f>
        <v>1</v>
      </c>
      <c r="C1230" s="1">
        <f>0</f>
        <v>0</v>
      </c>
      <c r="D1230" s="1">
        <f>0</f>
        <v>0</v>
      </c>
      <c r="E1230" s="1" t="s">
        <v>1152</v>
      </c>
      <c r="F1230" s="1"/>
      <c r="G1230" s="5">
        <f>0.4167</f>
        <v>0.4167</v>
      </c>
      <c r="H1230" s="7">
        <f t="shared" si="19"/>
        <v>0.00018176425172189678</v>
      </c>
    </row>
    <row r="1231" spans="1:8" ht="14.25" customHeight="1">
      <c r="A1231" s="3">
        <f>3</f>
        <v>3</v>
      </c>
      <c r="B1231" s="3">
        <f>1</f>
        <v>1</v>
      </c>
      <c r="C1231" s="1">
        <f>0</f>
        <v>0</v>
      </c>
      <c r="D1231" s="1">
        <f>0</f>
        <v>0</v>
      </c>
      <c r="E1231" s="1" t="s">
        <v>755</v>
      </c>
      <c r="F1231" s="1"/>
      <c r="G1231" s="5">
        <f>197.6</f>
        <v>197.6</v>
      </c>
      <c r="H1231" s="7">
        <f t="shared" si="19"/>
        <v>0.08619298329792849</v>
      </c>
    </row>
    <row r="1232" spans="1:8" ht="14.25" customHeight="1">
      <c r="A1232" s="3">
        <f>3</f>
        <v>3</v>
      </c>
      <c r="B1232" s="3">
        <f>1</f>
        <v>1</v>
      </c>
      <c r="C1232" s="1">
        <f>0</f>
        <v>0</v>
      </c>
      <c r="D1232" s="1">
        <f>0</f>
        <v>0</v>
      </c>
      <c r="E1232" s="1" t="s">
        <v>1232</v>
      </c>
      <c r="F1232" s="1"/>
      <c r="G1232" s="5">
        <f>13.6</f>
        <v>13.6</v>
      </c>
      <c r="H1232" s="7">
        <f t="shared" si="19"/>
        <v>0.005932310591355402</v>
      </c>
    </row>
    <row r="1233" spans="1:8" ht="14.25" customHeight="1">
      <c r="A1233" s="3">
        <f>3</f>
        <v>3</v>
      </c>
      <c r="B1233" s="3">
        <f>1</f>
        <v>1</v>
      </c>
      <c r="C1233" s="1">
        <f>0</f>
        <v>0</v>
      </c>
      <c r="D1233" s="1">
        <f>0</f>
        <v>0</v>
      </c>
      <c r="E1233" s="1" t="s">
        <v>1040</v>
      </c>
      <c r="F1233" s="1"/>
      <c r="G1233" s="5">
        <f>55.7778</f>
        <v>55.7778</v>
      </c>
      <c r="H1233" s="7">
        <f t="shared" si="19"/>
        <v>0.024330237772242892</v>
      </c>
    </row>
    <row r="1234" spans="1:8" ht="14.25" customHeight="1">
      <c r="A1234" s="3">
        <f>3</f>
        <v>3</v>
      </c>
      <c r="B1234" s="3">
        <f>1</f>
        <v>1</v>
      </c>
      <c r="C1234" s="1">
        <f>0</f>
        <v>0</v>
      </c>
      <c r="D1234" s="1">
        <f>0</f>
        <v>0</v>
      </c>
      <c r="E1234" s="1" t="s">
        <v>659</v>
      </c>
      <c r="F1234" s="1"/>
      <c r="G1234" s="5">
        <f>197.6</f>
        <v>197.6</v>
      </c>
      <c r="H1234" s="7">
        <f t="shared" si="19"/>
        <v>0.08619298329792849</v>
      </c>
    </row>
    <row r="1235" spans="1:8" ht="14.25" customHeight="1">
      <c r="A1235" s="3">
        <f>3</f>
        <v>3</v>
      </c>
      <c r="B1235" s="3">
        <f>1</f>
        <v>1</v>
      </c>
      <c r="C1235" s="1">
        <f>0</f>
        <v>0</v>
      </c>
      <c r="D1235" s="1">
        <f>0</f>
        <v>0</v>
      </c>
      <c r="E1235" s="1" t="s">
        <v>1233</v>
      </c>
      <c r="F1235" s="1"/>
      <c r="G1235" s="5">
        <f>303</f>
        <v>303</v>
      </c>
      <c r="H1235" s="7">
        <f t="shared" si="19"/>
        <v>0.13216839038093287</v>
      </c>
    </row>
    <row r="1236" spans="1:8" ht="14.25" customHeight="1">
      <c r="A1236" s="3">
        <f>3</f>
        <v>3</v>
      </c>
      <c r="B1236" s="3">
        <f>1</f>
        <v>1</v>
      </c>
      <c r="C1236" s="1">
        <f>0</f>
        <v>0</v>
      </c>
      <c r="D1236" s="1">
        <f>0</f>
        <v>0</v>
      </c>
      <c r="E1236" s="1" t="s">
        <v>1299</v>
      </c>
      <c r="F1236" s="1"/>
      <c r="G1236" s="5">
        <f>63.325</f>
        <v>63.325</v>
      </c>
      <c r="H1236" s="7">
        <f t="shared" si="19"/>
        <v>0.02762232119099859</v>
      </c>
    </row>
    <row r="1237" spans="1:8" ht="14.25" customHeight="1">
      <c r="A1237" s="3">
        <f>3</f>
        <v>3</v>
      </c>
      <c r="B1237" s="3">
        <f>1</f>
        <v>1</v>
      </c>
      <c r="C1237" s="1">
        <f>0</f>
        <v>0</v>
      </c>
      <c r="D1237" s="1">
        <f>0</f>
        <v>0</v>
      </c>
      <c r="E1237" s="1" t="s">
        <v>825</v>
      </c>
      <c r="F1237" s="1"/>
      <c r="G1237" s="5">
        <f>79.7778</f>
        <v>79.7778</v>
      </c>
      <c r="H1237" s="7">
        <f t="shared" si="19"/>
        <v>0.03479902116875243</v>
      </c>
    </row>
    <row r="1238" spans="1:8" ht="14.25" customHeight="1">
      <c r="A1238" s="3">
        <f>0</f>
        <v>0</v>
      </c>
      <c r="B1238" s="3">
        <f>1</f>
        <v>1</v>
      </c>
      <c r="C1238" s="1">
        <f>0</f>
        <v>0</v>
      </c>
      <c r="D1238" s="1">
        <f>0</f>
        <v>0</v>
      </c>
      <c r="E1238" s="1" t="s">
        <v>521</v>
      </c>
      <c r="F1238" s="1" t="s">
        <v>440</v>
      </c>
      <c r="G1238" s="5">
        <f>715</f>
        <v>715</v>
      </c>
      <c r="H1238" s="7">
        <f t="shared" si="19"/>
        <v>0.3118825053543465</v>
      </c>
    </row>
    <row r="1239" spans="1:8" ht="14.25" customHeight="1">
      <c r="A1239" s="3">
        <f>3</f>
        <v>3</v>
      </c>
      <c r="B1239" s="3">
        <f>1</f>
        <v>1</v>
      </c>
      <c r="C1239" s="1">
        <f>0</f>
        <v>0</v>
      </c>
      <c r="D1239" s="1">
        <f>0</f>
        <v>0</v>
      </c>
      <c r="E1239" s="1" t="s">
        <v>205</v>
      </c>
      <c r="F1239" s="1"/>
      <c r="G1239" s="5">
        <f>0.5208</f>
        <v>0.5208</v>
      </c>
      <c r="H1239" s="7">
        <f t="shared" si="19"/>
        <v>0.0002271725997042569</v>
      </c>
    </row>
    <row r="1240" spans="1:8" ht="14.25" customHeight="1">
      <c r="A1240" s="3">
        <f>0</f>
        <v>0</v>
      </c>
      <c r="B1240" s="3">
        <f>1</f>
        <v>1</v>
      </c>
      <c r="C1240" s="1">
        <f>0</f>
        <v>0</v>
      </c>
      <c r="D1240" s="1">
        <f>0</f>
        <v>0</v>
      </c>
      <c r="E1240" s="1" t="s">
        <v>1266</v>
      </c>
      <c r="F1240" s="1" t="s">
        <v>31</v>
      </c>
      <c r="G1240" s="5">
        <f>261.8083</f>
        <v>261.8083</v>
      </c>
      <c r="H1240" s="7">
        <f t="shared" si="19"/>
        <v>0.11420059933784943</v>
      </c>
    </row>
    <row r="1241" spans="1:8" ht="14.25" customHeight="1">
      <c r="A1241" s="3">
        <f>3</f>
        <v>3</v>
      </c>
      <c r="B1241" s="3">
        <f>1</f>
        <v>1</v>
      </c>
      <c r="C1241" s="1">
        <f>0</f>
        <v>0</v>
      </c>
      <c r="D1241" s="1">
        <f>0</f>
        <v>0</v>
      </c>
      <c r="E1241" s="1" t="s">
        <v>438</v>
      </c>
      <c r="F1241" s="1"/>
      <c r="G1241" s="5">
        <f>301.4167</f>
        <v>301.4167</v>
      </c>
      <c r="H1241" s="7">
        <f t="shared" si="19"/>
        <v>0.13147775601627895</v>
      </c>
    </row>
    <row r="1242" spans="1:8" ht="14.25" customHeight="1">
      <c r="A1242" s="3">
        <f>3</f>
        <v>3</v>
      </c>
      <c r="B1242" s="3">
        <f>1</f>
        <v>1</v>
      </c>
      <c r="C1242" s="1">
        <f>0</f>
        <v>0</v>
      </c>
      <c r="D1242" s="1">
        <f>0</f>
        <v>0</v>
      </c>
      <c r="E1242" s="1" t="s">
        <v>876</v>
      </c>
      <c r="F1242" s="1"/>
      <c r="G1242" s="5">
        <f>22.75</f>
        <v>22.75</v>
      </c>
      <c r="H1242" s="7">
        <f t="shared" si="19"/>
        <v>0.009923534261274661</v>
      </c>
    </row>
    <row r="1243" spans="1:8" ht="14.25" customHeight="1">
      <c r="A1243" s="3">
        <f>0</f>
        <v>0</v>
      </c>
      <c r="B1243" s="3">
        <f>1</f>
        <v>1</v>
      </c>
      <c r="C1243" s="1">
        <f>0</f>
        <v>0</v>
      </c>
      <c r="D1243" s="1">
        <f>0</f>
        <v>0</v>
      </c>
      <c r="E1243" s="1" t="s">
        <v>938</v>
      </c>
      <c r="F1243" s="1" t="s">
        <v>1491</v>
      </c>
      <c r="G1243" s="5">
        <f>365.5833</f>
        <v>365.5833</v>
      </c>
      <c r="H1243" s="7">
        <f t="shared" si="19"/>
        <v>0.1594671825450485</v>
      </c>
    </row>
    <row r="1244" spans="1:8" ht="14.25" customHeight="1">
      <c r="A1244" s="3">
        <f>0</f>
        <v>0</v>
      </c>
      <c r="B1244" s="3">
        <f>1</f>
        <v>1</v>
      </c>
      <c r="C1244" s="1">
        <f>0</f>
        <v>0</v>
      </c>
      <c r="D1244" s="1">
        <f>0</f>
        <v>0</v>
      </c>
      <c r="E1244" s="1" t="s">
        <v>909</v>
      </c>
      <c r="F1244" s="1" t="s">
        <v>1401</v>
      </c>
      <c r="G1244" s="5">
        <f>864.6736</f>
        <v>864.6736</v>
      </c>
      <c r="H1244" s="7">
        <f t="shared" si="19"/>
        <v>0.37717002612833855</v>
      </c>
    </row>
    <row r="1245" spans="1:8" ht="14.25" customHeight="1">
      <c r="A1245" s="3">
        <f>3</f>
        <v>3</v>
      </c>
      <c r="B1245" s="3">
        <f>1</f>
        <v>1</v>
      </c>
      <c r="C1245" s="1">
        <f>0</f>
        <v>0</v>
      </c>
      <c r="D1245" s="1">
        <f>0</f>
        <v>0</v>
      </c>
      <c r="E1245" s="1" t="s">
        <v>626</v>
      </c>
      <c r="F1245" s="1"/>
      <c r="G1245" s="5">
        <f>91.8274</f>
        <v>91.8274</v>
      </c>
      <c r="H1245" s="7">
        <f t="shared" si="19"/>
        <v>0.04005504835269331</v>
      </c>
    </row>
    <row r="1246" spans="1:8" ht="14.25" customHeight="1">
      <c r="A1246" s="3">
        <f>3</f>
        <v>3</v>
      </c>
      <c r="B1246" s="3">
        <f>1</f>
        <v>1</v>
      </c>
      <c r="C1246" s="1">
        <f>0</f>
        <v>0</v>
      </c>
      <c r="D1246" s="1">
        <f>0</f>
        <v>0</v>
      </c>
      <c r="E1246" s="1" t="s">
        <v>683</v>
      </c>
      <c r="F1246" s="1"/>
      <c r="G1246" s="5">
        <f>31.9524</f>
        <v>31.9524</v>
      </c>
      <c r="H1246" s="7">
        <f t="shared" si="19"/>
        <v>0.013937614774942967</v>
      </c>
    </row>
    <row r="1247" spans="1:8" ht="14.25" customHeight="1">
      <c r="A1247" s="3">
        <f>3</f>
        <v>3</v>
      </c>
      <c r="B1247" s="3">
        <f>1</f>
        <v>1</v>
      </c>
      <c r="C1247" s="1">
        <f>0</f>
        <v>0</v>
      </c>
      <c r="D1247" s="1">
        <f>0</f>
        <v>0</v>
      </c>
      <c r="E1247" s="1" t="s">
        <v>670</v>
      </c>
      <c r="F1247" s="1"/>
      <c r="G1247" s="5">
        <f>31.9524</f>
        <v>31.9524</v>
      </c>
      <c r="H1247" s="7">
        <f t="shared" si="19"/>
        <v>0.013937614774942967</v>
      </c>
    </row>
    <row r="1248" spans="1:8" ht="14.25" customHeight="1">
      <c r="A1248" s="3">
        <f>3</f>
        <v>3</v>
      </c>
      <c r="B1248" s="3">
        <f>1</f>
        <v>1</v>
      </c>
      <c r="C1248" s="1">
        <f>0</f>
        <v>0</v>
      </c>
      <c r="D1248" s="1">
        <f>0</f>
        <v>0</v>
      </c>
      <c r="E1248" s="1" t="s">
        <v>1473</v>
      </c>
      <c r="F1248" s="1"/>
      <c r="G1248" s="5">
        <f>480</f>
        <v>480</v>
      </c>
      <c r="H1248" s="7">
        <f t="shared" si="19"/>
        <v>0.20937566793019066</v>
      </c>
    </row>
    <row r="1249" spans="1:8" ht="14.25" customHeight="1">
      <c r="A1249" s="3">
        <f>3</f>
        <v>3</v>
      </c>
      <c r="B1249" s="3">
        <f>1</f>
        <v>1</v>
      </c>
      <c r="C1249" s="1">
        <f>0</f>
        <v>0</v>
      </c>
      <c r="D1249" s="1">
        <f>0</f>
        <v>0</v>
      </c>
      <c r="E1249" s="1" t="s">
        <v>684</v>
      </c>
      <c r="F1249" s="1"/>
      <c r="G1249" s="5">
        <f>31.9524</f>
        <v>31.9524</v>
      </c>
      <c r="H1249" s="7">
        <f t="shared" si="19"/>
        <v>0.013937614774942967</v>
      </c>
    </row>
    <row r="1250" spans="1:8" ht="14.25" customHeight="1">
      <c r="A1250" s="3">
        <f>0</f>
        <v>0</v>
      </c>
      <c r="B1250" s="3">
        <f>1</f>
        <v>1</v>
      </c>
      <c r="C1250" s="1">
        <f>0</f>
        <v>0</v>
      </c>
      <c r="D1250" s="1">
        <f>0</f>
        <v>0</v>
      </c>
      <c r="E1250" s="1" t="s">
        <v>1139</v>
      </c>
      <c r="F1250" s="1" t="s">
        <v>25</v>
      </c>
      <c r="G1250" s="5">
        <f>7.6406</f>
        <v>7.6406</v>
      </c>
      <c r="H1250" s="7">
        <f t="shared" si="19"/>
        <v>0.0033328244341404474</v>
      </c>
    </row>
    <row r="1251" spans="1:8" ht="14.25" customHeight="1">
      <c r="A1251" s="3">
        <f>0</f>
        <v>0</v>
      </c>
      <c r="B1251" s="3">
        <f>1</f>
        <v>1</v>
      </c>
      <c r="C1251" s="1">
        <f>0</f>
        <v>0</v>
      </c>
      <c r="D1251" s="1">
        <f>0</f>
        <v>0</v>
      </c>
      <c r="E1251" s="1" t="s">
        <v>1329</v>
      </c>
      <c r="F1251" s="1" t="s">
        <v>237</v>
      </c>
      <c r="G1251" s="5">
        <f>136.8</f>
        <v>136.8</v>
      </c>
      <c r="H1251" s="7">
        <f t="shared" si="19"/>
        <v>0.059672065360104345</v>
      </c>
    </row>
    <row r="1252" spans="1:8" ht="14.25" customHeight="1">
      <c r="A1252" s="3">
        <f>3</f>
        <v>3</v>
      </c>
      <c r="B1252" s="3">
        <f>1</f>
        <v>1</v>
      </c>
      <c r="C1252" s="1">
        <f>0</f>
        <v>0</v>
      </c>
      <c r="D1252" s="1">
        <f>0</f>
        <v>0</v>
      </c>
      <c r="E1252" s="1" t="s">
        <v>802</v>
      </c>
      <c r="F1252" s="1"/>
      <c r="G1252" s="5">
        <f>77.0833</f>
        <v>77.0833</v>
      </c>
      <c r="H1252" s="7">
        <f t="shared" si="19"/>
        <v>0.03362368213284014</v>
      </c>
    </row>
    <row r="1253" spans="1:8" ht="14.25" customHeight="1">
      <c r="A1253" s="3">
        <f>3</f>
        <v>3</v>
      </c>
      <c r="B1253" s="3">
        <f>1</f>
        <v>1</v>
      </c>
      <c r="C1253" s="1">
        <f>0</f>
        <v>0</v>
      </c>
      <c r="D1253" s="1">
        <f>0</f>
        <v>0</v>
      </c>
      <c r="E1253" s="1" t="s">
        <v>819</v>
      </c>
      <c r="F1253" s="1"/>
      <c r="G1253" s="5">
        <f>77.0833</f>
        <v>77.0833</v>
      </c>
      <c r="H1253" s="7">
        <f t="shared" si="19"/>
        <v>0.03362368213284014</v>
      </c>
    </row>
    <row r="1254" spans="1:8" ht="14.25" customHeight="1">
      <c r="A1254" s="3">
        <f>3</f>
        <v>3</v>
      </c>
      <c r="B1254" s="3">
        <f>1</f>
        <v>1</v>
      </c>
      <c r="C1254" s="1">
        <f>0</f>
        <v>0</v>
      </c>
      <c r="D1254" s="1">
        <f>0</f>
        <v>0</v>
      </c>
      <c r="E1254" s="1" t="s">
        <v>1247</v>
      </c>
      <c r="F1254" s="1"/>
      <c r="G1254" s="5">
        <f>23.2083</f>
        <v>23.2083</v>
      </c>
      <c r="H1254" s="7">
        <f t="shared" si="19"/>
        <v>0.010123444404217176</v>
      </c>
    </row>
    <row r="1255" spans="1:8" ht="14.25" customHeight="1">
      <c r="A1255" s="3">
        <f>0</f>
        <v>0</v>
      </c>
      <c r="B1255" s="3">
        <f>1</f>
        <v>1</v>
      </c>
      <c r="C1255" s="1">
        <f>0</f>
        <v>0</v>
      </c>
      <c r="D1255" s="1">
        <f>0</f>
        <v>0</v>
      </c>
      <c r="E1255" s="1" t="s">
        <v>1324</v>
      </c>
      <c r="F1255" s="1" t="s">
        <v>34</v>
      </c>
      <c r="G1255" s="5">
        <f>216.2083</f>
        <v>216.2083</v>
      </c>
      <c r="H1255" s="7">
        <f t="shared" si="19"/>
        <v>0.09430991088448133</v>
      </c>
    </row>
    <row r="1256" spans="1:8" ht="14.25" customHeight="1">
      <c r="A1256" s="3">
        <f>3</f>
        <v>3</v>
      </c>
      <c r="B1256" s="3">
        <f>1</f>
        <v>1</v>
      </c>
      <c r="C1256" s="1">
        <f>0</f>
        <v>0</v>
      </c>
      <c r="D1256" s="1">
        <f>0</f>
        <v>0</v>
      </c>
      <c r="E1256" s="1" t="s">
        <v>1248</v>
      </c>
      <c r="F1256" s="1"/>
      <c r="G1256" s="5">
        <f>9.2833</f>
        <v>9.2833</v>
      </c>
      <c r="H1256" s="7">
        <f t="shared" si="19"/>
        <v>0.004049369037700706</v>
      </c>
    </row>
    <row r="1257" spans="1:8" ht="14.25" customHeight="1">
      <c r="A1257" s="3">
        <f>3</f>
        <v>3</v>
      </c>
      <c r="B1257" s="3">
        <f>1</f>
        <v>1</v>
      </c>
      <c r="C1257" s="1">
        <f>0</f>
        <v>0</v>
      </c>
      <c r="D1257" s="1">
        <f>0</f>
        <v>0</v>
      </c>
      <c r="E1257" s="1" t="s">
        <v>702</v>
      </c>
      <c r="F1257" s="1"/>
      <c r="G1257" s="5">
        <f>124.4583</f>
        <v>124.4583</v>
      </c>
      <c r="H1257" s="7">
        <f t="shared" si="19"/>
        <v>0.05428862435824176</v>
      </c>
    </row>
  </sheetData>
  <sheetProtection/>
  <printOptions/>
  <pageMargins left="0.31496062992125984" right="0.31496062992125984" top="0.43307086614173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Patrik</cp:lastModifiedBy>
  <cp:lastPrinted>2016-02-15T11:27:45Z</cp:lastPrinted>
  <dcterms:created xsi:type="dcterms:W3CDTF">2003-08-27T16:40:13Z</dcterms:created>
  <dcterms:modified xsi:type="dcterms:W3CDTF">2016-07-28T18:47:37Z</dcterms:modified>
  <cp:category/>
  <cp:version/>
  <cp:contentType/>
  <cp:contentStatus/>
</cp:coreProperties>
</file>